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codeName="ThisWorkbook"/>
  <mc:AlternateContent xmlns:mc="http://schemas.openxmlformats.org/markup-compatibility/2006">
    <mc:Choice Requires="x15">
      <x15ac:absPath xmlns:x15ac="http://schemas.microsoft.com/office/spreadsheetml/2010/11/ac" url="https://xapiens-my.sharepoint.com/personal/surya_badaruddin_kideco_co_id/Documents/Documents/#Werk/003. Weekly Coal Exposed/"/>
    </mc:Choice>
  </mc:AlternateContent>
  <xr:revisionPtr revIDLastSave="1596" documentId="13_ncr:1_{6C4B2AB5-3E84-4ACD-913D-C1FB5F706C57}" xr6:coauthVersionLast="47" xr6:coauthVersionMax="47" xr10:uidLastSave="{C4015F87-A086-468E-88B3-339808066235}"/>
  <bookViews>
    <workbookView xWindow="-120" yWindow="-120" windowWidth="20730" windowHeight="11160" tabRatio="653" xr2:uid="{00000000-000D-0000-FFFF-FFFF00000000}"/>
  </bookViews>
  <sheets>
    <sheet name="Cover" sheetId="211" r:id="rId1"/>
    <sheet name="1.Summary" sheetId="203" r:id="rId2"/>
    <sheet name="2.PAMA" sheetId="214" r:id="rId3"/>
    <sheet name="2.SIMS" sheetId="205" r:id="rId4"/>
    <sheet name="2.PETROSEA" sheetId="209" r:id="rId5"/>
    <sheet name="2.BIMA" sheetId="210" r:id="rId6"/>
    <sheet name="2.KMI" sheetId="212" state="hidden" r:id="rId7"/>
  </sheets>
  <externalReferences>
    <externalReference r:id="rId8"/>
    <externalReference r:id="rId9"/>
  </externalReferences>
  <definedNames>
    <definedName name="\b" localSheetId="6">[1]계획서!#REF!</definedName>
    <definedName name="\b" localSheetId="2">[1]계획서!#REF!</definedName>
    <definedName name="\b">[1]계획서!#REF!</definedName>
    <definedName name="\d" localSheetId="6">[1]계획서!#REF!</definedName>
    <definedName name="\d" localSheetId="2">[1]계획서!#REF!</definedName>
    <definedName name="\d">[1]계획서!#REF!</definedName>
    <definedName name="\e" localSheetId="6">[1]계획서!#REF!</definedName>
    <definedName name="\e" localSheetId="2">[1]계획서!#REF!</definedName>
    <definedName name="\e">[1]계획서!#REF!</definedName>
    <definedName name="\f" localSheetId="6">'[1]98년차.XLS'!#REF!</definedName>
    <definedName name="\f" localSheetId="2">'[1]98년차.XLS'!#REF!</definedName>
    <definedName name="\f">'[1]98년차.XLS'!#REF!</definedName>
    <definedName name="\g" localSheetId="6">'[1]98년차.XLS'!#REF!</definedName>
    <definedName name="\g">'[1]98년차.XLS'!#REF!</definedName>
    <definedName name="\h" localSheetId="6">'[1]98년차.XLS'!#REF!</definedName>
    <definedName name="\h">'[1]98년차.XLS'!#REF!</definedName>
    <definedName name="\i" localSheetId="6">'[1]98년차.XLS'!#REF!</definedName>
    <definedName name="\i">'[1]98년차.XLS'!#REF!</definedName>
    <definedName name="\j">#N/A</definedName>
    <definedName name="\k">#N/A</definedName>
    <definedName name="\l">#N/A</definedName>
    <definedName name="\n" localSheetId="6">'[1]98인원계획'!#REF!</definedName>
    <definedName name="\n">'[1]98인원계획'!#REF!</definedName>
    <definedName name="\p">#N/A</definedName>
    <definedName name="\w" localSheetId="6">'[1]98인원계획'!#REF!</definedName>
    <definedName name="\w">'[1]98인원계획'!#REF!</definedName>
    <definedName name="\x" localSheetId="6">'[1]98인건비'!#REF!</definedName>
    <definedName name="\x">'[1]98인건비'!#REF!</definedName>
    <definedName name="_6" localSheetId="6">'[1]98인원계획'!#REF!</definedName>
    <definedName name="_6">'[1]98인원계획'!#REF!</definedName>
    <definedName name="_HOME__END__D__">#N/A</definedName>
    <definedName name="_J">#N/A</definedName>
    <definedName name="_msoanchor_1" localSheetId="1">'1.Summary'!#REF!</definedName>
    <definedName name="AS" localSheetId="6">'[1]98인건비'!#REF!</definedName>
    <definedName name="AS">'[1]98인건비'!#REF!</definedName>
    <definedName name="CSALES02" localSheetId="6">[2]COSTSALES!#REF!</definedName>
    <definedName name="CSALES02">[2]COSTSALES!#REF!</definedName>
    <definedName name="CSALES03" localSheetId="6">[2]COSTSALES!#REF!</definedName>
    <definedName name="CSALES03">[2]COSTSALES!#REF!</definedName>
    <definedName name="CSALES04" localSheetId="6">[2]COSTSALES!#REF!</definedName>
    <definedName name="CSALES04">[2]COSTSALES!#REF!</definedName>
    <definedName name="CSALES05" localSheetId="6">[2]COSTSALES!#REF!</definedName>
    <definedName name="CSALES05">[2]COSTSALES!#REF!</definedName>
    <definedName name="CSALES06" localSheetId="6">[2]COSTSALES!#REF!</definedName>
    <definedName name="CSALES06">[2]COSTSALES!#REF!</definedName>
    <definedName name="CSALES07" localSheetId="6">[2]COSTSALES!#REF!</definedName>
    <definedName name="CSALES07">[2]COSTSALES!#REF!</definedName>
    <definedName name="CSALES08" localSheetId="6">[2]COSTSALES!#REF!</definedName>
    <definedName name="CSALES08">[2]COSTSALES!#REF!</definedName>
    <definedName name="CSALES09" localSheetId="6">[2]COSTSALES!#REF!</definedName>
    <definedName name="CSALES09">[2]COSTSALES!#REF!</definedName>
    <definedName name="CSALES10" localSheetId="6">[2]COSTSALES!#REF!</definedName>
    <definedName name="CSALES10">[2]COSTSALES!#REF!</definedName>
    <definedName name="CSALES11" localSheetId="6">[2]COSTSALES!#REF!</definedName>
    <definedName name="CSALES11">[2]COSTSALES!#REF!</definedName>
    <definedName name="CSALES12" localSheetId="6">[2]COSTSALES!#REF!</definedName>
    <definedName name="CSALES12">[2]COSTSALES!#REF!</definedName>
    <definedName name="d">#N/A</definedName>
    <definedName name="_xlnm.Database" localSheetId="6">#REF!</definedName>
    <definedName name="_xlnm.Database" localSheetId="2">#REF!</definedName>
    <definedName name="_xlnm.Database">#REF!</definedName>
    <definedName name="Jul">#N/A</definedName>
    <definedName name="MCOST2">[2]MCOST1!$A$64:$W$124</definedName>
    <definedName name="_xlnm.Print_Area" localSheetId="1">'1.Summary'!$A$1:$R$84</definedName>
    <definedName name="_xlnm.Print_Area" localSheetId="5">'2.BIMA'!$A$1:$P$108</definedName>
    <definedName name="_xlnm.Print_Area" localSheetId="6">'2.KMI'!$A$1:$P$70</definedName>
    <definedName name="_xlnm.Print_Area" localSheetId="2">'2.PAMA'!$A$1:$P$517</definedName>
    <definedName name="_xlnm.Print_Area" localSheetId="4">'2.PETROSEA'!$A$1:$P$164</definedName>
    <definedName name="_xlnm.Print_Area" localSheetId="3">'2.SIMS'!$A$1:$P$80</definedName>
    <definedName name="_xlnm.Print_Area" localSheetId="0">Cover!$A$1:$H$43</definedName>
    <definedName name="_xlnm.Print_Titles" localSheetId="5">'2.BIMA'!$1:$13</definedName>
    <definedName name="_xlnm.Print_Titles" localSheetId="6">'2.KMI'!$1:$13</definedName>
    <definedName name="_xlnm.Print_Titles" localSheetId="2">'2.PAMA'!$1:$13</definedName>
    <definedName name="_xlnm.Print_Titles" localSheetId="4">'2.PETROSEA'!$1:$13</definedName>
    <definedName name="_xlnm.Print_Titles" localSheetId="3">'2.SIMS'!$1:$13</definedName>
    <definedName name="salah3">#N/A</definedName>
    <definedName name="ssssss" localSheetId="6">#REF!</definedName>
    <definedName name="ssssss" localSheetId="2">#REF!</definedName>
    <definedName name="ssssss">#REF!</definedName>
    <definedName name="sssssss">#N/A</definedName>
    <definedName name="test10">#N/A</definedName>
    <definedName name="test3">#N/A</definedName>
    <definedName name="testy">#N/A</definedName>
    <definedName name="잉2" localSheetId="6">#REF!</definedName>
    <definedName name="잉2" localSheetId="2">#REF!</definedName>
    <definedName name="잉2">#REF!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8" i="203" l="1"/>
  <c r="P30" i="209" l="1"/>
  <c r="J30" i="209"/>
  <c r="P50" i="214" l="1"/>
  <c r="J50" i="214"/>
  <c r="P49" i="214"/>
  <c r="J49" i="214"/>
  <c r="B9" i="210" l="1"/>
  <c r="B9" i="209"/>
  <c r="B9" i="205"/>
  <c r="B9" i="214"/>
  <c r="P286" i="214"/>
  <c r="J286" i="214"/>
  <c r="P285" i="214"/>
  <c r="J285" i="214"/>
  <c r="P284" i="214"/>
  <c r="J284" i="214"/>
  <c r="P283" i="214"/>
  <c r="J283" i="214"/>
  <c r="P282" i="214"/>
  <c r="J282" i="214"/>
  <c r="P281" i="214"/>
  <c r="J281" i="214"/>
  <c r="P280" i="214"/>
  <c r="J280" i="214"/>
  <c r="P287" i="214" l="1"/>
  <c r="P294" i="214" s="1"/>
  <c r="F21" i="203" s="1"/>
  <c r="J287" i="214"/>
  <c r="J294" i="214" s="1"/>
  <c r="E21" i="203" s="1"/>
  <c r="P270" i="214"/>
  <c r="J270" i="214"/>
  <c r="P129" i="214" l="1"/>
  <c r="P278" i="214" l="1"/>
  <c r="J278" i="214"/>
  <c r="P277" i="214"/>
  <c r="J277" i="214"/>
  <c r="P276" i="214"/>
  <c r="J276" i="214"/>
  <c r="P275" i="214"/>
  <c r="J275" i="214"/>
  <c r="P274" i="214"/>
  <c r="J274" i="214"/>
  <c r="P273" i="214"/>
  <c r="J273" i="214"/>
  <c r="P272" i="214"/>
  <c r="J272" i="214"/>
  <c r="P279" i="214" l="1"/>
  <c r="F18" i="203" s="1"/>
  <c r="J279" i="214"/>
  <c r="E18" i="203" s="1"/>
  <c r="P141" i="214"/>
  <c r="P100" i="214"/>
  <c r="P33" i="214"/>
  <c r="H18" i="203" l="1"/>
  <c r="P293" i="214"/>
  <c r="G18" i="203"/>
  <c r="J293" i="214"/>
  <c r="D62" i="203"/>
  <c r="E62" i="203"/>
  <c r="F62" i="203"/>
  <c r="G62" i="203"/>
  <c r="H62" i="203"/>
  <c r="I62" i="203"/>
  <c r="J62" i="203"/>
  <c r="K62" i="203"/>
  <c r="L62" i="203"/>
  <c r="M62" i="203"/>
  <c r="N62" i="203"/>
  <c r="O62" i="203"/>
  <c r="P62" i="203"/>
  <c r="Q55" i="203"/>
  <c r="Q56" i="203"/>
  <c r="Q57" i="203"/>
  <c r="Q58" i="203"/>
  <c r="Q59" i="203"/>
  <c r="Q60" i="203"/>
  <c r="Q61" i="203"/>
  <c r="D36" i="203" l="1"/>
  <c r="Q71" i="203"/>
  <c r="Q72" i="203"/>
  <c r="P44" i="205" l="1"/>
  <c r="J44" i="205"/>
  <c r="P38" i="210"/>
  <c r="J38" i="210"/>
  <c r="J74" i="214" l="1"/>
  <c r="J75" i="214"/>
  <c r="J76" i="214"/>
  <c r="J77" i="214"/>
  <c r="J78" i="214"/>
  <c r="J79" i="214"/>
  <c r="J80" i="214"/>
  <c r="J81" i="214"/>
  <c r="J82" i="214"/>
  <c r="J83" i="214"/>
  <c r="J84" i="214"/>
  <c r="J85" i="214"/>
  <c r="J86" i="214"/>
  <c r="J87" i="214"/>
  <c r="J88" i="214"/>
  <c r="J89" i="214"/>
  <c r="J90" i="214"/>
  <c r="J91" i="214"/>
  <c r="J92" i="214"/>
  <c r="P61" i="210"/>
  <c r="J14" i="209" l="1"/>
  <c r="J15" i="209"/>
  <c r="J16" i="209"/>
  <c r="J18" i="209"/>
  <c r="J19" i="209"/>
  <c r="J20" i="209"/>
  <c r="J36" i="205" l="1"/>
  <c r="J35" i="205"/>
  <c r="J34" i="205"/>
  <c r="J20" i="205"/>
  <c r="J19" i="205"/>
  <c r="J18" i="205"/>
  <c r="J17" i="205"/>
  <c r="J16" i="205"/>
  <c r="J267" i="214" l="1"/>
  <c r="J266" i="214"/>
  <c r="J265" i="214"/>
  <c r="J264" i="214"/>
  <c r="J263" i="214"/>
  <c r="J210" i="214"/>
  <c r="J209" i="214"/>
  <c r="J208" i="214"/>
  <c r="J207" i="214"/>
  <c r="J157" i="214"/>
  <c r="J156" i="214"/>
  <c r="J155" i="214"/>
  <c r="J154" i="214"/>
  <c r="J153" i="214"/>
  <c r="J152" i="214"/>
  <c r="J151" i="214"/>
  <c r="J150" i="214"/>
  <c r="J149" i="214"/>
  <c r="J148" i="214"/>
  <c r="J147" i="214"/>
  <c r="J146" i="214"/>
  <c r="J145" i="214"/>
  <c r="J144" i="214"/>
  <c r="J143" i="214"/>
  <c r="J140" i="214"/>
  <c r="J139" i="214"/>
  <c r="J138" i="214"/>
  <c r="J137" i="214"/>
  <c r="J136" i="214"/>
  <c r="J135" i="214"/>
  <c r="J134" i="214"/>
  <c r="J24" i="214"/>
  <c r="J23" i="214"/>
  <c r="J22" i="214"/>
  <c r="J21" i="214"/>
  <c r="J20" i="214"/>
  <c r="J19" i="214"/>
  <c r="J18" i="214"/>
  <c r="J17" i="214"/>
  <c r="J16" i="214"/>
  <c r="J15" i="214"/>
  <c r="J14" i="214"/>
  <c r="J46" i="214"/>
  <c r="J45" i="214"/>
  <c r="J44" i="214"/>
  <c r="J43" i="214"/>
  <c r="J42" i="214"/>
  <c r="J41" i="214"/>
  <c r="J40" i="214"/>
  <c r="J39" i="214"/>
  <c r="J38" i="214"/>
  <c r="J37" i="214"/>
  <c r="J36" i="214"/>
  <c r="J35" i="214"/>
  <c r="Q66" i="203" l="1"/>
  <c r="Q67" i="203"/>
  <c r="Q68" i="203"/>
  <c r="Q69" i="203"/>
  <c r="Q70" i="203"/>
  <c r="P33" i="209"/>
  <c r="J61" i="210" l="1"/>
  <c r="J21" i="203" l="1"/>
  <c r="J23" i="203"/>
  <c r="I23" i="203" s="1"/>
  <c r="I21" i="203" l="1"/>
  <c r="P19" i="205" l="1"/>
  <c r="P18" i="205"/>
  <c r="P28" i="203" l="1"/>
  <c r="P62" i="209" l="1"/>
  <c r="P61" i="209"/>
  <c r="P60" i="209"/>
  <c r="J60" i="209"/>
  <c r="J61" i="209"/>
  <c r="J62" i="209"/>
  <c r="J23" i="209"/>
  <c r="J22" i="209"/>
  <c r="J21" i="209"/>
  <c r="J25" i="214"/>
  <c r="J26" i="214"/>
  <c r="J27" i="214"/>
  <c r="J28" i="214"/>
  <c r="J29" i="214"/>
  <c r="J30" i="214"/>
  <c r="J31" i="214"/>
  <c r="J32" i="214"/>
  <c r="J47" i="214"/>
  <c r="J48" i="214"/>
  <c r="J52" i="214"/>
  <c r="J53" i="214"/>
  <c r="J54" i="214"/>
  <c r="J55" i="214"/>
  <c r="J56" i="214"/>
  <c r="J57" i="214"/>
  <c r="J58" i="214"/>
  <c r="J59" i="214"/>
  <c r="J60" i="214"/>
  <c r="J61" i="214"/>
  <c r="J62" i="214"/>
  <c r="J63" i="214"/>
  <c r="J64" i="214"/>
  <c r="J65" i="214"/>
  <c r="J66" i="214"/>
  <c r="J67" i="214"/>
  <c r="J68" i="214"/>
  <c r="J69" i="214"/>
  <c r="J70" i="214"/>
  <c r="J71" i="214"/>
  <c r="J93" i="214"/>
  <c r="J94" i="214"/>
  <c r="J95" i="214"/>
  <c r="J96" i="214"/>
  <c r="J97" i="214"/>
  <c r="J98" i="214"/>
  <c r="J99" i="214"/>
  <c r="C34" i="203"/>
  <c r="D47" i="203"/>
  <c r="J51" i="214" l="1"/>
  <c r="P95" i="214"/>
  <c r="J63" i="209"/>
  <c r="P29" i="214"/>
  <c r="P44" i="214"/>
  <c r="P61" i="214"/>
  <c r="P79" i="214"/>
  <c r="P75" i="214"/>
  <c r="P74" i="214"/>
  <c r="P71" i="214"/>
  <c r="P69" i="214"/>
  <c r="P65" i="214"/>
  <c r="P57" i="214"/>
  <c r="P55" i="214"/>
  <c r="P53" i="214"/>
  <c r="P99" i="214"/>
  <c r="P84" i="214"/>
  <c r="P40" i="214"/>
  <c r="P39" i="214"/>
  <c r="P38" i="214"/>
  <c r="P36" i="214"/>
  <c r="P18" i="214"/>
  <c r="P56" i="214"/>
  <c r="P48" i="214"/>
  <c r="P91" i="214"/>
  <c r="P90" i="214"/>
  <c r="P89" i="214"/>
  <c r="P87" i="214"/>
  <c r="P83" i="214"/>
  <c r="P66" i="214"/>
  <c r="P25" i="214"/>
  <c r="P24" i="214"/>
  <c r="P23" i="214"/>
  <c r="P21" i="214"/>
  <c r="P17" i="214"/>
  <c r="P18" i="209"/>
  <c r="P20" i="209"/>
  <c r="P22" i="209"/>
  <c r="P16" i="209"/>
  <c r="P15" i="209"/>
  <c r="P14" i="209"/>
  <c r="P63" i="209" s="1"/>
  <c r="P17" i="209"/>
  <c r="P19" i="209"/>
  <c r="P21" i="209"/>
  <c r="P23" i="209"/>
  <c r="P96" i="214"/>
  <c r="P85" i="214"/>
  <c r="P80" i="214"/>
  <c r="P68" i="214"/>
  <c r="P98" i="214"/>
  <c r="P97" i="214"/>
  <c r="P92" i="214"/>
  <c r="P82" i="214"/>
  <c r="P81" i="214"/>
  <c r="P76" i="214"/>
  <c r="P64" i="214"/>
  <c r="P63" i="214"/>
  <c r="P58" i="214"/>
  <c r="J72" i="214"/>
  <c r="P47" i="214"/>
  <c r="P46" i="214"/>
  <c r="P41" i="214"/>
  <c r="P32" i="214"/>
  <c r="P31" i="214"/>
  <c r="P26" i="214"/>
  <c r="P16" i="214"/>
  <c r="P15" i="214"/>
  <c r="P94" i="214"/>
  <c r="P93" i="214"/>
  <c r="P88" i="214"/>
  <c r="P78" i="214"/>
  <c r="P77" i="214"/>
  <c r="P70" i="214"/>
  <c r="P60" i="214"/>
  <c r="P59" i="214"/>
  <c r="P54" i="214"/>
  <c r="P43" i="214"/>
  <c r="P42" i="214"/>
  <c r="P37" i="214"/>
  <c r="P28" i="214"/>
  <c r="P27" i="214"/>
  <c r="P22" i="214"/>
  <c r="J34" i="214"/>
  <c r="P86" i="214"/>
  <c r="P67" i="214"/>
  <c r="P62" i="214"/>
  <c r="P52" i="214"/>
  <c r="P45" i="214"/>
  <c r="P35" i="214"/>
  <c r="P30" i="214"/>
  <c r="P20" i="214"/>
  <c r="P19" i="214"/>
  <c r="P14" i="214"/>
  <c r="P77" i="203"/>
  <c r="P73" i="203"/>
  <c r="G47" i="203" s="1"/>
  <c r="P51" i="214" l="1"/>
  <c r="Q79" i="203"/>
  <c r="Q80" i="203"/>
  <c r="Q78" i="203"/>
  <c r="Q81" i="203"/>
  <c r="Q77" i="203"/>
  <c r="Q83" i="203"/>
  <c r="Q82" i="203"/>
  <c r="J73" i="214"/>
  <c r="J288" i="214" s="1"/>
  <c r="E10" i="203" s="1"/>
  <c r="Q62" i="203"/>
  <c r="P84" i="203"/>
  <c r="P101" i="214"/>
  <c r="P102" i="214" s="1"/>
  <c r="P72" i="214"/>
  <c r="P34" i="214"/>
  <c r="P24" i="209"/>
  <c r="Q73" i="203"/>
  <c r="N77" i="203"/>
  <c r="O77" i="203"/>
  <c r="N78" i="203"/>
  <c r="O78" i="203"/>
  <c r="P78" i="203"/>
  <c r="N79" i="203"/>
  <c r="O79" i="203"/>
  <c r="P79" i="203"/>
  <c r="N80" i="203"/>
  <c r="O80" i="203"/>
  <c r="P80" i="203"/>
  <c r="N81" i="203"/>
  <c r="O81" i="203"/>
  <c r="P81" i="203"/>
  <c r="N82" i="203"/>
  <c r="O82" i="203"/>
  <c r="P82" i="203"/>
  <c r="N83" i="203"/>
  <c r="O83" i="203"/>
  <c r="P83" i="203"/>
  <c r="E11" i="203" l="1"/>
  <c r="P289" i="214"/>
  <c r="P56" i="209"/>
  <c r="Q84" i="203"/>
  <c r="P73" i="214"/>
  <c r="P288" i="214" s="1"/>
  <c r="C38" i="203"/>
  <c r="C35" i="203"/>
  <c r="C36" i="203"/>
  <c r="C37" i="203" s="1"/>
  <c r="C44" i="203"/>
  <c r="M83" i="203"/>
  <c r="L83" i="203"/>
  <c r="K83" i="203"/>
  <c r="J83" i="203"/>
  <c r="I83" i="203"/>
  <c r="H83" i="203"/>
  <c r="G83" i="203"/>
  <c r="F83" i="203"/>
  <c r="E83" i="203"/>
  <c r="D83" i="203"/>
  <c r="C83" i="203"/>
  <c r="M82" i="203"/>
  <c r="L82" i="203"/>
  <c r="K82" i="203"/>
  <c r="J82" i="203"/>
  <c r="I82" i="203"/>
  <c r="H82" i="203"/>
  <c r="G82" i="203"/>
  <c r="F82" i="203"/>
  <c r="E82" i="203"/>
  <c r="D82" i="203"/>
  <c r="C82" i="203"/>
  <c r="M81" i="203"/>
  <c r="L81" i="203"/>
  <c r="K81" i="203"/>
  <c r="J81" i="203"/>
  <c r="I81" i="203"/>
  <c r="H81" i="203"/>
  <c r="G81" i="203"/>
  <c r="F81" i="203"/>
  <c r="E81" i="203"/>
  <c r="D81" i="203"/>
  <c r="C81" i="203"/>
  <c r="M80" i="203"/>
  <c r="L80" i="203"/>
  <c r="K80" i="203"/>
  <c r="J80" i="203"/>
  <c r="I80" i="203"/>
  <c r="H80" i="203"/>
  <c r="G80" i="203"/>
  <c r="F80" i="203"/>
  <c r="E80" i="203"/>
  <c r="D80" i="203"/>
  <c r="C80" i="203"/>
  <c r="M79" i="203"/>
  <c r="L79" i="203"/>
  <c r="K79" i="203"/>
  <c r="J79" i="203"/>
  <c r="I79" i="203"/>
  <c r="H79" i="203"/>
  <c r="G79" i="203"/>
  <c r="F79" i="203"/>
  <c r="E79" i="203"/>
  <c r="D79" i="203"/>
  <c r="C79" i="203"/>
  <c r="M78" i="203"/>
  <c r="L78" i="203"/>
  <c r="K78" i="203"/>
  <c r="J78" i="203"/>
  <c r="I78" i="203"/>
  <c r="H78" i="203"/>
  <c r="G78" i="203"/>
  <c r="F78" i="203"/>
  <c r="E78" i="203"/>
  <c r="D78" i="203"/>
  <c r="C78" i="203"/>
  <c r="M77" i="203"/>
  <c r="L77" i="203"/>
  <c r="K77" i="203"/>
  <c r="J77" i="203"/>
  <c r="I77" i="203"/>
  <c r="H77" i="203"/>
  <c r="G77" i="203"/>
  <c r="F77" i="203"/>
  <c r="E77" i="203"/>
  <c r="D77" i="203"/>
  <c r="C77" i="203"/>
  <c r="N73" i="203"/>
  <c r="M73" i="203"/>
  <c r="G40" i="203" s="1"/>
  <c r="L73" i="203"/>
  <c r="K73" i="203"/>
  <c r="J73" i="203"/>
  <c r="G42" i="203" s="1"/>
  <c r="I73" i="203"/>
  <c r="H73" i="203"/>
  <c r="G73" i="203"/>
  <c r="G39" i="203" s="1"/>
  <c r="F73" i="203"/>
  <c r="G38" i="203" s="1"/>
  <c r="E73" i="203"/>
  <c r="D73" i="203"/>
  <c r="C73" i="203"/>
  <c r="D45" i="203"/>
  <c r="D40" i="203"/>
  <c r="D42" i="203"/>
  <c r="D39" i="203"/>
  <c r="D38" i="203"/>
  <c r="C62" i="203"/>
  <c r="F12" i="203" l="1"/>
  <c r="F13" i="203" s="1"/>
  <c r="F10" i="203"/>
  <c r="F11" i="203" s="1"/>
  <c r="D84" i="203"/>
  <c r="E84" i="203"/>
  <c r="D44" i="203"/>
  <c r="D46" i="203" s="1"/>
  <c r="D37" i="203"/>
  <c r="D34" i="203"/>
  <c r="D35" i="203" s="1"/>
  <c r="C84" i="203"/>
  <c r="G34" i="203"/>
  <c r="K84" i="203"/>
  <c r="G44" i="203"/>
  <c r="N84" i="203"/>
  <c r="G36" i="203"/>
  <c r="G37" i="203" s="1"/>
  <c r="L84" i="203"/>
  <c r="M84" i="203"/>
  <c r="J84" i="203"/>
  <c r="I84" i="203"/>
  <c r="H84" i="203"/>
  <c r="F84" i="203"/>
  <c r="G84" i="203"/>
  <c r="O73" i="203"/>
  <c r="O84" i="203" s="1"/>
  <c r="G45" i="203" l="1"/>
  <c r="G46" i="203" s="1"/>
  <c r="J124" i="214"/>
  <c r="J253" i="214"/>
  <c r="J132" i="214" l="1"/>
  <c r="J133" i="214"/>
  <c r="C40" i="203" l="1"/>
  <c r="J112" i="214" l="1"/>
  <c r="S27" i="203" l="1"/>
  <c r="J10" i="203" l="1"/>
  <c r="I10" i="203" s="1"/>
  <c r="D32" i="203" l="1"/>
  <c r="P17" i="205"/>
  <c r="J103" i="214"/>
  <c r="J104" i="214"/>
  <c r="J106" i="214"/>
  <c r="J107" i="214"/>
  <c r="J108" i="214"/>
  <c r="J109" i="214"/>
  <c r="J110" i="214"/>
  <c r="J111" i="214"/>
  <c r="J113" i="214"/>
  <c r="J114" i="214"/>
  <c r="J115" i="214"/>
  <c r="J304" i="214" s="1"/>
  <c r="J116" i="214"/>
  <c r="J118" i="214"/>
  <c r="J119" i="214"/>
  <c r="J120" i="214"/>
  <c r="J121" i="214"/>
  <c r="J122" i="214"/>
  <c r="J123" i="214"/>
  <c r="J125" i="214"/>
  <c r="J126" i="214"/>
  <c r="J128" i="214"/>
  <c r="J129" i="214"/>
  <c r="J130" i="214"/>
  <c r="J131" i="214"/>
  <c r="J159" i="214"/>
  <c r="J160" i="214"/>
  <c r="J161" i="214"/>
  <c r="J162" i="214"/>
  <c r="J163" i="214"/>
  <c r="J164" i="214"/>
  <c r="J165" i="214"/>
  <c r="J166" i="214"/>
  <c r="J167" i="214"/>
  <c r="J168" i="214"/>
  <c r="J169" i="214"/>
  <c r="J170" i="214"/>
  <c r="J171" i="214"/>
  <c r="J172" i="214"/>
  <c r="J173" i="214"/>
  <c r="J175" i="214"/>
  <c r="J176" i="214"/>
  <c r="J177" i="214"/>
  <c r="J178" i="214"/>
  <c r="J179" i="214"/>
  <c r="J180" i="214"/>
  <c r="J181" i="214"/>
  <c r="J182" i="214"/>
  <c r="J183" i="214"/>
  <c r="J184" i="214"/>
  <c r="J185" i="214"/>
  <c r="J186" i="214"/>
  <c r="J187" i="214"/>
  <c r="J188" i="214"/>
  <c r="J190" i="214"/>
  <c r="J191" i="214"/>
  <c r="J192" i="214"/>
  <c r="J193" i="214"/>
  <c r="J194" i="214"/>
  <c r="J195" i="214"/>
  <c r="J196" i="214"/>
  <c r="J197" i="214"/>
  <c r="J198" i="214"/>
  <c r="J199" i="214"/>
  <c r="J200" i="214"/>
  <c r="J201" i="214"/>
  <c r="J202" i="214"/>
  <c r="J203" i="214"/>
  <c r="J204" i="214"/>
  <c r="J205" i="214"/>
  <c r="J211" i="214"/>
  <c r="J212" i="214"/>
  <c r="J213" i="214"/>
  <c r="J214" i="214"/>
  <c r="J215" i="214"/>
  <c r="J216" i="214"/>
  <c r="J217" i="214"/>
  <c r="J218" i="214"/>
  <c r="J219" i="214"/>
  <c r="J220" i="214"/>
  <c r="J222" i="214"/>
  <c r="J223" i="214"/>
  <c r="J224" i="214"/>
  <c r="J225" i="214"/>
  <c r="J226" i="214"/>
  <c r="J228" i="214"/>
  <c r="J229" i="214"/>
  <c r="J230" i="214"/>
  <c r="J231" i="214"/>
  <c r="J232" i="214"/>
  <c r="J233" i="214"/>
  <c r="J234" i="214"/>
  <c r="J235" i="214"/>
  <c r="J237" i="214"/>
  <c r="J238" i="214"/>
  <c r="J239" i="214"/>
  <c r="J240" i="214"/>
  <c r="J241" i="214"/>
  <c r="J242" i="214"/>
  <c r="J243" i="214"/>
  <c r="J244" i="214"/>
  <c r="J245" i="214"/>
  <c r="J246" i="214"/>
  <c r="J247" i="214"/>
  <c r="J248" i="214"/>
  <c r="J249" i="214"/>
  <c r="J250" i="214"/>
  <c r="J251" i="214"/>
  <c r="J254" i="214"/>
  <c r="J255" i="214"/>
  <c r="J256" i="214"/>
  <c r="J257" i="214"/>
  <c r="J258" i="214"/>
  <c r="J259" i="214"/>
  <c r="J260" i="214"/>
  <c r="J261" i="214"/>
  <c r="J262" i="214"/>
  <c r="J268" i="214"/>
  <c r="J269" i="214"/>
  <c r="E299" i="214"/>
  <c r="K299" i="214"/>
  <c r="J303" i="214" l="1"/>
  <c r="J301" i="214"/>
  <c r="J300" i="214"/>
  <c r="J302" i="214"/>
  <c r="J105" i="214"/>
  <c r="C8" i="203"/>
  <c r="B55" i="203" s="1"/>
  <c r="H32" i="203"/>
  <c r="J271" i="214"/>
  <c r="J292" i="214" s="1"/>
  <c r="E16" i="203" s="1"/>
  <c r="P104" i="214"/>
  <c r="J227" i="214"/>
  <c r="P103" i="214"/>
  <c r="P224" i="214"/>
  <c r="P213" i="214"/>
  <c r="P110" i="214"/>
  <c r="P247" i="214"/>
  <c r="P237" i="214"/>
  <c r="P212" i="214"/>
  <c r="P208" i="214"/>
  <c r="P207" i="214"/>
  <c r="P201" i="214"/>
  <c r="P197" i="214"/>
  <c r="P196" i="214"/>
  <c r="P193" i="214"/>
  <c r="P178" i="214"/>
  <c r="P177" i="214"/>
  <c r="P159" i="214"/>
  <c r="P156" i="214"/>
  <c r="P148" i="214"/>
  <c r="P137" i="214"/>
  <c r="P133" i="214"/>
  <c r="P132" i="214"/>
  <c r="P128" i="214"/>
  <c r="P266" i="214"/>
  <c r="P218" i="214"/>
  <c r="P216" i="214"/>
  <c r="P209" i="214"/>
  <c r="P202" i="214"/>
  <c r="P187" i="214"/>
  <c r="P179" i="214"/>
  <c r="P163" i="214"/>
  <c r="P160" i="214"/>
  <c r="P138" i="214"/>
  <c r="P260" i="214"/>
  <c r="P241" i="214"/>
  <c r="P257" i="214"/>
  <c r="P238" i="214"/>
  <c r="P223" i="214"/>
  <c r="P222" i="214"/>
  <c r="P220" i="214"/>
  <c r="P116" i="214"/>
  <c r="P114" i="214"/>
  <c r="P268" i="214"/>
  <c r="P264" i="214"/>
  <c r="P256" i="214"/>
  <c r="P255" i="214"/>
  <c r="P261" i="214"/>
  <c r="P249" i="214"/>
  <c r="P245" i="214"/>
  <c r="P242" i="214"/>
  <c r="P232" i="214"/>
  <c r="P230" i="214"/>
  <c r="P234" i="214"/>
  <c r="P225" i="214"/>
  <c r="P226" i="214"/>
  <c r="J221" i="214"/>
  <c r="P215" i="214"/>
  <c r="P210" i="214"/>
  <c r="P219" i="214"/>
  <c r="P214" i="214"/>
  <c r="P217" i="214"/>
  <c r="P211" i="214"/>
  <c r="P198" i="214"/>
  <c r="P190" i="214"/>
  <c r="P205" i="214"/>
  <c r="P191" i="214"/>
  <c r="P188" i="214"/>
  <c r="P182" i="214"/>
  <c r="P186" i="214"/>
  <c r="P185" i="214"/>
  <c r="P165" i="214"/>
  <c r="P171" i="214"/>
  <c r="P170" i="214"/>
  <c r="P167" i="214"/>
  <c r="P144" i="214"/>
  <c r="P143" i="214"/>
  <c r="P149" i="214"/>
  <c r="P154" i="214"/>
  <c r="P152" i="214"/>
  <c r="P145" i="214"/>
  <c r="P134" i="214"/>
  <c r="P125" i="214"/>
  <c r="P124" i="214"/>
  <c r="P121" i="214"/>
  <c r="P126" i="214"/>
  <c r="P108" i="214"/>
  <c r="P267" i="214"/>
  <c r="P262" i="214"/>
  <c r="P243" i="214"/>
  <c r="P248" i="214"/>
  <c r="J252" i="214"/>
  <c r="P269" i="214"/>
  <c r="P263" i="214"/>
  <c r="P258" i="214"/>
  <c r="P253" i="214"/>
  <c r="P250" i="214"/>
  <c r="P244" i="214"/>
  <c r="P239" i="214"/>
  <c r="P265" i="214"/>
  <c r="P259" i="214"/>
  <c r="P254" i="214"/>
  <c r="P251" i="214"/>
  <c r="P246" i="214"/>
  <c r="P240" i="214"/>
  <c r="P233" i="214"/>
  <c r="P228" i="214"/>
  <c r="P235" i="214"/>
  <c r="P229" i="214"/>
  <c r="P231" i="214"/>
  <c r="J236" i="214"/>
  <c r="P203" i="214"/>
  <c r="P204" i="214"/>
  <c r="P199" i="214"/>
  <c r="P194" i="214"/>
  <c r="J206" i="214"/>
  <c r="P192" i="214"/>
  <c r="P200" i="214"/>
  <c r="P195" i="214"/>
  <c r="P183" i="214"/>
  <c r="P184" i="214"/>
  <c r="P180" i="214"/>
  <c r="P175" i="214"/>
  <c r="P172" i="214"/>
  <c r="P166" i="214"/>
  <c r="P161" i="214"/>
  <c r="P181" i="214"/>
  <c r="P176" i="214"/>
  <c r="P173" i="214"/>
  <c r="P168" i="214"/>
  <c r="P162" i="214"/>
  <c r="J189" i="214"/>
  <c r="J174" i="214"/>
  <c r="P169" i="214"/>
  <c r="P164" i="214"/>
  <c r="P151" i="214"/>
  <c r="P146" i="214"/>
  <c r="P155" i="214"/>
  <c r="P150" i="214"/>
  <c r="J158" i="214"/>
  <c r="P157" i="214"/>
  <c r="P153" i="214"/>
  <c r="P147" i="214"/>
  <c r="P139" i="214"/>
  <c r="P140" i="214"/>
  <c r="P135" i="214"/>
  <c r="P130" i="214"/>
  <c r="J142" i="214"/>
  <c r="P136" i="214"/>
  <c r="P131" i="214"/>
  <c r="P120" i="214"/>
  <c r="P119" i="214"/>
  <c r="P123" i="214"/>
  <c r="P122" i="214"/>
  <c r="P118" i="214"/>
  <c r="P106" i="214"/>
  <c r="P113" i="214"/>
  <c r="P107" i="214"/>
  <c r="P111" i="214"/>
  <c r="P115" i="214"/>
  <c r="P304" i="214" s="1"/>
  <c r="P109" i="214"/>
  <c r="J117" i="214"/>
  <c r="J127" i="214"/>
  <c r="J290" i="214" l="1"/>
  <c r="E14" i="203" s="1"/>
  <c r="J291" i="214"/>
  <c r="E15" i="203" s="1"/>
  <c r="H40" i="203"/>
  <c r="P300" i="214"/>
  <c r="P303" i="214"/>
  <c r="P301" i="214"/>
  <c r="J305" i="214"/>
  <c r="P302" i="214"/>
  <c r="C32" i="203"/>
  <c r="P105" i="214"/>
  <c r="P227" i="214"/>
  <c r="P189" i="214"/>
  <c r="P236" i="214"/>
  <c r="P117" i="214"/>
  <c r="P252" i="214"/>
  <c r="P221" i="214"/>
  <c r="P271" i="214"/>
  <c r="P206" i="214"/>
  <c r="P174" i="214"/>
  <c r="P158" i="214"/>
  <c r="P142" i="214"/>
  <c r="P127" i="214"/>
  <c r="P291" i="214" l="1"/>
  <c r="F15" i="203" s="1"/>
  <c r="E17" i="203"/>
  <c r="P290" i="214"/>
  <c r="F14" i="203" s="1"/>
  <c r="P292" i="214"/>
  <c r="F16" i="203" s="1"/>
  <c r="P305" i="214"/>
  <c r="H38" i="203" l="1"/>
  <c r="I38" i="203" s="1"/>
  <c r="F17" i="203"/>
  <c r="P295" i="214"/>
  <c r="E38" i="203" l="1"/>
  <c r="F38" i="203" s="1"/>
  <c r="J32" i="210"/>
  <c r="J28" i="209" l="1"/>
  <c r="J15" i="205" l="1"/>
  <c r="P16" i="205" l="1"/>
  <c r="P20" i="205"/>
  <c r="P15" i="205"/>
  <c r="J34" i="210" l="1"/>
  <c r="J35" i="210"/>
  <c r="K15" i="212"/>
  <c r="L15" i="212"/>
  <c r="M15" i="212"/>
  <c r="K16" i="212"/>
  <c r="L16" i="212"/>
  <c r="M16" i="212"/>
  <c r="K17" i="212"/>
  <c r="L17" i="212"/>
  <c r="M17" i="212"/>
  <c r="K18" i="212"/>
  <c r="L18" i="212"/>
  <c r="M18" i="212"/>
  <c r="K19" i="212"/>
  <c r="L19" i="212"/>
  <c r="M19" i="212"/>
  <c r="L14" i="212"/>
  <c r="M14" i="212"/>
  <c r="K14" i="212"/>
  <c r="J39" i="205"/>
  <c r="J40" i="205"/>
  <c r="J41" i="205"/>
  <c r="J42" i="205"/>
  <c r="J43" i="205"/>
  <c r="J45" i="205"/>
  <c r="J22" i="205"/>
  <c r="J23" i="205"/>
  <c r="J24" i="205"/>
  <c r="J25" i="205"/>
  <c r="J26" i="205"/>
  <c r="J27" i="205"/>
  <c r="J28" i="205"/>
  <c r="J29" i="205"/>
  <c r="J30" i="205"/>
  <c r="J31" i="205"/>
  <c r="J25" i="209"/>
  <c r="P34" i="205" l="1"/>
  <c r="P45" i="205"/>
  <c r="J32" i="205"/>
  <c r="P42" i="205"/>
  <c r="P41" i="205"/>
  <c r="J46" i="205"/>
  <c r="E20" i="203" s="1"/>
  <c r="P39" i="205"/>
  <c r="P43" i="205"/>
  <c r="P40" i="205"/>
  <c r="P35" i="210"/>
  <c r="P34" i="210"/>
  <c r="P29" i="205"/>
  <c r="P25" i="205"/>
  <c r="P23" i="205"/>
  <c r="P24" i="205"/>
  <c r="P22" i="205"/>
  <c r="P30" i="205"/>
  <c r="P31" i="205"/>
  <c r="P26" i="205"/>
  <c r="P28" i="205"/>
  <c r="P27" i="205"/>
  <c r="P26" i="209"/>
  <c r="P25" i="209"/>
  <c r="P36" i="205"/>
  <c r="P35" i="205"/>
  <c r="P62" i="210"/>
  <c r="J62" i="210"/>
  <c r="P60" i="210"/>
  <c r="J60" i="210"/>
  <c r="P59" i="210"/>
  <c r="J59" i="210"/>
  <c r="P58" i="210"/>
  <c r="J58" i="210"/>
  <c r="P57" i="210"/>
  <c r="J57" i="210"/>
  <c r="P56" i="210"/>
  <c r="J56" i="210"/>
  <c r="P55" i="210"/>
  <c r="J55" i="210"/>
  <c r="P54" i="210"/>
  <c r="J54" i="210"/>
  <c r="P53" i="210"/>
  <c r="J53" i="210"/>
  <c r="P52" i="210"/>
  <c r="J52" i="210"/>
  <c r="P51" i="210"/>
  <c r="J51" i="210"/>
  <c r="P50" i="210"/>
  <c r="J50" i="210"/>
  <c r="P49" i="210"/>
  <c r="J49" i="210"/>
  <c r="P48" i="210"/>
  <c r="J48" i="210"/>
  <c r="P47" i="210"/>
  <c r="J47" i="210"/>
  <c r="P46" i="210"/>
  <c r="J46" i="210"/>
  <c r="P45" i="210"/>
  <c r="J45" i="210"/>
  <c r="P44" i="210"/>
  <c r="J44" i="210"/>
  <c r="P43" i="210"/>
  <c r="J43" i="210"/>
  <c r="P42" i="210"/>
  <c r="J42" i="210"/>
  <c r="P41" i="210"/>
  <c r="J41" i="210"/>
  <c r="P40" i="210"/>
  <c r="J40" i="210"/>
  <c r="P39" i="210"/>
  <c r="J39" i="210"/>
  <c r="P37" i="210"/>
  <c r="J37" i="210"/>
  <c r="P32" i="210"/>
  <c r="P31" i="210"/>
  <c r="J31" i="210"/>
  <c r="P30" i="210"/>
  <c r="J30" i="210"/>
  <c r="H43" i="203" l="1"/>
  <c r="P63" i="210"/>
  <c r="F26" i="203" s="1"/>
  <c r="P46" i="205"/>
  <c r="F20" i="203" s="1"/>
  <c r="J63" i="210"/>
  <c r="E26" i="203" s="1"/>
  <c r="P32" i="205"/>
  <c r="P27" i="209" l="1"/>
  <c r="J27" i="209"/>
  <c r="J26" i="209"/>
  <c r="P15" i="212" l="1"/>
  <c r="P14" i="212"/>
  <c r="J15" i="212" l="1"/>
  <c r="J14" i="212"/>
  <c r="P33" i="210" l="1"/>
  <c r="J33" i="210"/>
  <c r="C45" i="203" l="1"/>
  <c r="J25" i="203" l="1"/>
  <c r="I25" i="203" s="1"/>
  <c r="I27" i="203" s="1"/>
  <c r="J19" i="203"/>
  <c r="I19" i="203" s="1"/>
  <c r="J14" i="203"/>
  <c r="C39" i="203"/>
  <c r="I14" i="203" l="1"/>
  <c r="J27" i="203"/>
  <c r="K27" i="203" s="1"/>
  <c r="J16" i="212" l="1"/>
  <c r="P37" i="205"/>
  <c r="J37" i="205"/>
  <c r="P14" i="205"/>
  <c r="P21" i="205" s="1"/>
  <c r="J14" i="205"/>
  <c r="J21" i="205" s="1"/>
  <c r="P16" i="212" l="1"/>
  <c r="J19" i="210"/>
  <c r="I24" i="203" l="1"/>
  <c r="J24" i="203"/>
  <c r="K24" i="203" s="1"/>
  <c r="J18" i="212" l="1"/>
  <c r="J24" i="212" s="1"/>
  <c r="J17" i="212"/>
  <c r="P19" i="210" l="1"/>
  <c r="P18" i="212"/>
  <c r="P24" i="212" s="1"/>
  <c r="P17" i="212"/>
  <c r="H34" i="203" l="1"/>
  <c r="I34" i="203" l="1"/>
  <c r="E34" i="203"/>
  <c r="F34" i="203" s="1"/>
  <c r="P38" i="209"/>
  <c r="J38" i="209"/>
  <c r="J37" i="209"/>
  <c r="J36" i="209"/>
  <c r="J35" i="209"/>
  <c r="J34" i="209"/>
  <c r="J33" i="209"/>
  <c r="J32" i="209"/>
  <c r="J31" i="209"/>
  <c r="J29" i="209"/>
  <c r="L10" i="203" l="1"/>
  <c r="G10" i="203"/>
  <c r="M10" i="203"/>
  <c r="H10" i="203"/>
  <c r="P29" i="209" l="1"/>
  <c r="P31" i="209"/>
  <c r="P32" i="209"/>
  <c r="P34" i="209"/>
  <c r="P35" i="209"/>
  <c r="P36" i="209"/>
  <c r="P37" i="209"/>
  <c r="P39" i="209"/>
  <c r="P40" i="209"/>
  <c r="P41" i="209"/>
  <c r="P42" i="209"/>
  <c r="P43" i="209"/>
  <c r="P44" i="209"/>
  <c r="P45" i="209"/>
  <c r="P46" i="209"/>
  <c r="J41" i="209"/>
  <c r="J42" i="209"/>
  <c r="J43" i="209"/>
  <c r="J44" i="209"/>
  <c r="J45" i="209"/>
  <c r="J46" i="209"/>
  <c r="J39" i="209"/>
  <c r="J40" i="209"/>
  <c r="J49" i="209" l="1"/>
  <c r="J48" i="209"/>
  <c r="P47" i="209"/>
  <c r="J47" i="209"/>
  <c r="P48" i="209" l="1"/>
  <c r="P49" i="209"/>
  <c r="J12" i="203" l="1"/>
  <c r="J13" i="203" l="1"/>
  <c r="K13" i="203" s="1"/>
  <c r="I12" i="203"/>
  <c r="I13" i="203" s="1"/>
  <c r="H12" i="203" l="1"/>
  <c r="J50" i="209" l="1"/>
  <c r="P50" i="209" l="1"/>
  <c r="J52" i="209" l="1"/>
  <c r="K52" i="209"/>
  <c r="L52" i="209"/>
  <c r="M52" i="209"/>
  <c r="J53" i="209"/>
  <c r="K53" i="209"/>
  <c r="L53" i="209"/>
  <c r="M53" i="209"/>
  <c r="J54" i="209" l="1"/>
  <c r="P52" i="209"/>
  <c r="P53" i="209"/>
  <c r="P54" i="209" l="1"/>
  <c r="K20" i="212" l="1"/>
  <c r="L20" i="212"/>
  <c r="M20" i="212"/>
  <c r="K21" i="212"/>
  <c r="L21" i="212"/>
  <c r="M21" i="212"/>
  <c r="K22" i="212"/>
  <c r="L22" i="212"/>
  <c r="M22" i="212"/>
  <c r="K23" i="212"/>
  <c r="L23" i="212"/>
  <c r="M23" i="212"/>
  <c r="P33" i="205" l="1"/>
  <c r="P38" i="205" s="1"/>
  <c r="F19" i="203" s="1"/>
  <c r="J33" i="205"/>
  <c r="J38" i="205" s="1"/>
  <c r="E19" i="203" s="1"/>
  <c r="H42" i="203" l="1"/>
  <c r="J47" i="205"/>
  <c r="P29" i="212" l="1"/>
  <c r="P28" i="212"/>
  <c r="P27" i="212"/>
  <c r="P26" i="212"/>
  <c r="J29" i="212"/>
  <c r="J28" i="212"/>
  <c r="J27" i="212"/>
  <c r="J26" i="212"/>
  <c r="P71" i="210"/>
  <c r="J71" i="210"/>
  <c r="P51" i="205"/>
  <c r="P50" i="205"/>
  <c r="P49" i="205"/>
  <c r="J51" i="205"/>
  <c r="J50" i="205"/>
  <c r="J49" i="205"/>
  <c r="J29" i="210" l="1"/>
  <c r="J28" i="210"/>
  <c r="J27" i="210"/>
  <c r="J26" i="210"/>
  <c r="J25" i="210"/>
  <c r="J24" i="210"/>
  <c r="J23" i="210"/>
  <c r="J22" i="210"/>
  <c r="P18" i="210" l="1"/>
  <c r="P23" i="210"/>
  <c r="P29" i="210"/>
  <c r="P26" i="210"/>
  <c r="P20" i="210"/>
  <c r="P21" i="210"/>
  <c r="P25" i="210"/>
  <c r="P27" i="210"/>
  <c r="P22" i="210"/>
  <c r="P24" i="210"/>
  <c r="P28" i="210"/>
  <c r="J16" i="203" l="1"/>
  <c r="J17" i="203" l="1"/>
  <c r="K17" i="203" s="1"/>
  <c r="C43" i="203"/>
  <c r="C42" i="203"/>
  <c r="J11" i="203" l="1"/>
  <c r="K11" i="203" s="1"/>
  <c r="C41" i="203"/>
  <c r="C46" i="203"/>
  <c r="J19" i="212" l="1"/>
  <c r="P19" i="212" l="1"/>
  <c r="I11" i="203" l="1"/>
  <c r="H11" i="203" l="1"/>
  <c r="G11" i="203"/>
  <c r="L11" i="203"/>
  <c r="M11" i="203"/>
  <c r="H35" i="203" l="1"/>
  <c r="I35" i="203" l="1"/>
  <c r="J20" i="210"/>
  <c r="J18" i="210"/>
  <c r="C47" i="203" l="1"/>
  <c r="C48" i="203" s="1"/>
  <c r="J20" i="212" l="1"/>
  <c r="P20" i="212" l="1"/>
  <c r="J23" i="212" l="1"/>
  <c r="J22" i="212"/>
  <c r="J21" i="212"/>
  <c r="J70" i="210"/>
  <c r="J21" i="210"/>
  <c r="J17" i="210"/>
  <c r="J16" i="210"/>
  <c r="J15" i="210"/>
  <c r="J14" i="210"/>
  <c r="P52" i="205"/>
  <c r="P53" i="205"/>
  <c r="G35" i="203"/>
  <c r="I16" i="203"/>
  <c r="I17" i="203" s="1"/>
  <c r="E4" i="203"/>
  <c r="E35" i="203" l="1"/>
  <c r="J67" i="210"/>
  <c r="P12" i="203" s="1"/>
  <c r="J36" i="210"/>
  <c r="E25" i="203" s="1"/>
  <c r="E27" i="203" s="1"/>
  <c r="E40" i="203"/>
  <c r="F40" i="203" s="1"/>
  <c r="J53" i="205"/>
  <c r="B9" i="212"/>
  <c r="J69" i="210"/>
  <c r="P14" i="203" s="1"/>
  <c r="J30" i="212"/>
  <c r="J52" i="205"/>
  <c r="P15" i="203" s="1"/>
  <c r="P54" i="205"/>
  <c r="J68" i="210"/>
  <c r="P13" i="203" s="1"/>
  <c r="G41" i="203"/>
  <c r="G48" i="203" s="1"/>
  <c r="P15" i="210"/>
  <c r="P21" i="212"/>
  <c r="P22" i="212"/>
  <c r="P16" i="210"/>
  <c r="P23" i="212"/>
  <c r="P14" i="210"/>
  <c r="P17" i="210"/>
  <c r="P70" i="210"/>
  <c r="P24" i="203" s="1"/>
  <c r="H26" i="203"/>
  <c r="G20" i="203"/>
  <c r="H20" i="203"/>
  <c r="H47" i="203" l="1"/>
  <c r="F35" i="203"/>
  <c r="P68" i="210"/>
  <c r="P22" i="203" s="1"/>
  <c r="H19" i="203"/>
  <c r="P47" i="205"/>
  <c r="P67" i="210"/>
  <c r="P21" i="203" s="1"/>
  <c r="P36" i="210"/>
  <c r="F25" i="203" s="1"/>
  <c r="F27" i="203" s="1"/>
  <c r="G19" i="203"/>
  <c r="H16" i="203"/>
  <c r="H15" i="203"/>
  <c r="H39" i="203"/>
  <c r="E39" i="203" s="1"/>
  <c r="F39" i="203" s="1"/>
  <c r="J54" i="205"/>
  <c r="J72" i="210"/>
  <c r="J28" i="203"/>
  <c r="I28" i="203"/>
  <c r="B66" i="203"/>
  <c r="B77" i="203" s="1"/>
  <c r="G15" i="203"/>
  <c r="J31" i="212"/>
  <c r="P30" i="212"/>
  <c r="P69" i="210"/>
  <c r="P23" i="203" s="1"/>
  <c r="J25" i="212"/>
  <c r="I40" i="203"/>
  <c r="H14" i="203"/>
  <c r="M16" i="203"/>
  <c r="L16" i="203"/>
  <c r="G16" i="203"/>
  <c r="P25" i="212"/>
  <c r="J64" i="210"/>
  <c r="G26" i="203"/>
  <c r="M25" i="203" l="1"/>
  <c r="G25" i="203"/>
  <c r="L25" i="203"/>
  <c r="M27" i="203"/>
  <c r="H17" i="203"/>
  <c r="P64" i="210"/>
  <c r="H21" i="203"/>
  <c r="G14" i="203"/>
  <c r="L14" i="203"/>
  <c r="M17" i="203"/>
  <c r="M14" i="203"/>
  <c r="K28" i="203"/>
  <c r="I39" i="203"/>
  <c r="B56" i="203"/>
  <c r="B57" i="203" s="1"/>
  <c r="H41" i="203"/>
  <c r="P31" i="212"/>
  <c r="P72" i="210"/>
  <c r="I43" i="203"/>
  <c r="D41" i="203"/>
  <c r="D48" i="203" s="1"/>
  <c r="H25" i="203" l="1"/>
  <c r="E41" i="203"/>
  <c r="F41" i="203" s="1"/>
  <c r="G27" i="203"/>
  <c r="L27" i="203"/>
  <c r="I47" i="203"/>
  <c r="I42" i="203"/>
  <c r="E42" i="203"/>
  <c r="F42" i="203" s="1"/>
  <c r="G17" i="203"/>
  <c r="L17" i="203"/>
  <c r="B67" i="203"/>
  <c r="B78" i="203" s="1"/>
  <c r="I41" i="203"/>
  <c r="H27" i="203"/>
  <c r="B68" i="203"/>
  <c r="B79" i="203" s="1"/>
  <c r="B58" i="203"/>
  <c r="E47" i="203" l="1"/>
  <c r="F47" i="203" s="1"/>
  <c r="H13" i="203"/>
  <c r="B69" i="203"/>
  <c r="B80" i="203" s="1"/>
  <c r="B59" i="203"/>
  <c r="B70" i="203" l="1"/>
  <c r="B81" i="203" s="1"/>
  <c r="B60" i="203"/>
  <c r="B61" i="203" l="1"/>
  <c r="A52" i="203" s="1"/>
  <c r="B71" i="203"/>
  <c r="B82" i="203" s="1"/>
  <c r="B72" i="203" l="1"/>
  <c r="B83" i="203" s="1"/>
  <c r="J51" i="209"/>
  <c r="E23" i="203" s="1"/>
  <c r="E24" i="203" s="1"/>
  <c r="P28" i="209"/>
  <c r="M23" i="203" l="1"/>
  <c r="L23" i="203"/>
  <c r="J57" i="209"/>
  <c r="P51" i="209"/>
  <c r="F23" i="203" s="1"/>
  <c r="F24" i="203" s="1"/>
  <c r="P57" i="209" l="1"/>
  <c r="P58" i="209" s="1"/>
  <c r="F28" i="203"/>
  <c r="P64" i="209"/>
  <c r="H45" i="203"/>
  <c r="G23" i="203"/>
  <c r="P25" i="203" l="1"/>
  <c r="P27" i="203" s="1"/>
  <c r="P65" i="209"/>
  <c r="I45" i="203"/>
  <c r="E45" i="203"/>
  <c r="F45" i="203" s="1"/>
  <c r="H23" i="203"/>
  <c r="H24" i="203" l="1"/>
  <c r="H28" i="203"/>
  <c r="J17" i="209"/>
  <c r="J24" i="209" s="1"/>
  <c r="J64" i="209" l="1"/>
  <c r="J65" i="209" s="1"/>
  <c r="J56" i="209"/>
  <c r="J58" i="209" s="1"/>
  <c r="P16" i="203" l="1"/>
  <c r="P17" i="203" s="1"/>
  <c r="M19" i="203"/>
  <c r="H44" i="203"/>
  <c r="E44" i="203" s="1"/>
  <c r="G21" i="203"/>
  <c r="M21" i="203"/>
  <c r="L21" i="203"/>
  <c r="L19" i="203"/>
  <c r="H46" i="203" l="1"/>
  <c r="F44" i="203"/>
  <c r="I44" i="203"/>
  <c r="M24" i="203"/>
  <c r="G24" i="203"/>
  <c r="L24" i="203"/>
  <c r="I46" i="203" l="1"/>
  <c r="E46" i="203"/>
  <c r="F46" i="203" l="1"/>
  <c r="J101" i="214"/>
  <c r="J102" i="214" s="1"/>
  <c r="J289" i="214" s="1"/>
  <c r="E12" i="203" s="1"/>
  <c r="J295" i="214" l="1"/>
  <c r="L12" i="203" l="1"/>
  <c r="M12" i="203"/>
  <c r="E13" i="203"/>
  <c r="H36" i="203"/>
  <c r="G12" i="203"/>
  <c r="E36" i="203" l="1"/>
  <c r="F36" i="203" s="1"/>
  <c r="H37" i="203"/>
  <c r="I36" i="203"/>
  <c r="L13" i="203"/>
  <c r="G13" i="203"/>
  <c r="E28" i="203"/>
  <c r="M13" i="203"/>
  <c r="L28" i="203" l="1"/>
  <c r="G28" i="203"/>
  <c r="M28" i="203"/>
  <c r="H48" i="203"/>
  <c r="I37" i="203"/>
  <c r="I48" i="203" s="1"/>
  <c r="E37" i="203"/>
  <c r="E48" i="203" l="1"/>
  <c r="F48" i="203" s="1"/>
  <c r="F37" i="203"/>
</calcChain>
</file>

<file path=xl/sharedStrings.xml><?xml version="1.0" encoding="utf-8"?>
<sst xmlns="http://schemas.openxmlformats.org/spreadsheetml/2006/main" count="1281" uniqueCount="348">
  <si>
    <t>Mine Site Batu Kajang, Kalimantan Timur</t>
  </si>
  <si>
    <t>WEEKLY STOCK EXPOSED REPORT</t>
  </si>
  <si>
    <t>CONTENTS:</t>
  </si>
  <si>
    <t xml:space="preserve">1. Summary of Exposed Coal </t>
    <phoneticPr fontId="88" type="noConversion"/>
  </si>
  <si>
    <t xml:space="preserve">2. Status of Weekly Exposed Stock </t>
    <phoneticPr fontId="88" type="noConversion"/>
  </si>
  <si>
    <t xml:space="preserve">   - PT PAMA</t>
    <phoneticPr fontId="88" type="noConversion"/>
  </si>
  <si>
    <t xml:space="preserve">   - PT SIMS</t>
    <phoneticPr fontId="88" type="noConversion"/>
  </si>
  <si>
    <t xml:space="preserve">   - PT PETROSEA</t>
    <phoneticPr fontId="88" type="noConversion"/>
  </si>
  <si>
    <t xml:space="preserve">   - PT BIMA</t>
  </si>
  <si>
    <t>Coal Hauling Department</t>
  </si>
  <si>
    <t xml:space="preserve">Weekly Coal Exposed Stock </t>
  </si>
  <si>
    <t>Departemen</t>
  </si>
  <si>
    <t>Coal Hauling</t>
  </si>
  <si>
    <t>No. Form</t>
  </si>
  <si>
    <t>FM/CH-018</t>
  </si>
  <si>
    <t>Tgl. Pembuatan</t>
  </si>
  <si>
    <t>Periode</t>
  </si>
  <si>
    <t>No/Tgl. Revisi</t>
  </si>
  <si>
    <t>03/01-Apr-2022</t>
  </si>
  <si>
    <t>1. Summary of Exposed Coal</t>
    <phoneticPr fontId="15" type="noConversion"/>
  </si>
  <si>
    <t>&lt; In-Pit Exposed Coal Stock&gt;</t>
    <phoneticPr fontId="15" type="noConversion"/>
  </si>
  <si>
    <t>(unit: KTon)</t>
  </si>
  <si>
    <t>Classification</t>
  </si>
  <si>
    <t>Variation</t>
  </si>
  <si>
    <t>Target and Hold  (for days production)</t>
  </si>
  <si>
    <t>Remarks</t>
  </si>
  <si>
    <t>Exposed</t>
  </si>
  <si>
    <t>Ready</t>
  </si>
  <si>
    <t>Coal Exposed</t>
  </si>
  <si>
    <t>Daily Target Prodution
(ton)</t>
  </si>
  <si>
    <t>Target
days</t>
  </si>
  <si>
    <t>Ava. Days for Prod (Day)</t>
  </si>
  <si>
    <t>Diff</t>
  </si>
  <si>
    <t>RTN</t>
  </si>
  <si>
    <t>N</t>
  </si>
  <si>
    <t>Exposed :</t>
  </si>
  <si>
    <t>S-TTL</t>
  </si>
  <si>
    <t>PH</t>
  </si>
  <si>
    <t>RTM</t>
  </si>
  <si>
    <t>M</t>
  </si>
  <si>
    <t>PL</t>
  </si>
  <si>
    <t>MH</t>
  </si>
  <si>
    <t>RTS</t>
  </si>
  <si>
    <t>CD</t>
  </si>
  <si>
    <t>ML</t>
  </si>
  <si>
    <t>EF</t>
  </si>
  <si>
    <t>SM</t>
  </si>
  <si>
    <t>G</t>
  </si>
  <si>
    <t>Total</t>
  </si>
  <si>
    <t>A</t>
  </si>
  <si>
    <t>Ready :</t>
  </si>
  <si>
    <t>A-6/8</t>
  </si>
  <si>
    <t>B</t>
  </si>
  <si>
    <t>D</t>
  </si>
  <si>
    <t>SSB</t>
  </si>
  <si>
    <t>SB-1</t>
  </si>
  <si>
    <t>SB-2</t>
  </si>
  <si>
    <t>Temp S/P</t>
  </si>
  <si>
    <t xml:space="preserve"> &lt; Variation of Exposed Coal by Pits&gt;</t>
    <phoneticPr fontId="15" type="noConversion"/>
  </si>
  <si>
    <t>(unit: KTon, KBcm)</t>
  </si>
  <si>
    <t>Variation
(E) - (A)</t>
  </si>
  <si>
    <t>Exposed(A)</t>
  </si>
  <si>
    <t>Waste(B)</t>
  </si>
  <si>
    <t>Expose(C)
(E)+(D)-(A)</t>
  </si>
  <si>
    <t>S / R
(B)/(C)</t>
  </si>
  <si>
    <t>Production
(D)</t>
  </si>
  <si>
    <t>Exposed(E)</t>
  </si>
  <si>
    <t>Pama</t>
  </si>
  <si>
    <t>SM #6</t>
  </si>
  <si>
    <t>`</t>
  </si>
  <si>
    <t>SIMS</t>
  </si>
  <si>
    <t>A 6/8</t>
  </si>
  <si>
    <t>Petrosea</t>
  </si>
  <si>
    <t>&lt;Production Statistic&gt;</t>
    <phoneticPr fontId="15" type="noConversion"/>
  </si>
  <si>
    <t>(unit: KBcm ; KTon)</t>
  </si>
  <si>
    <t>Waste
(B)</t>
  </si>
  <si>
    <t>Date</t>
  </si>
  <si>
    <t>RTS-CF</t>
  </si>
  <si>
    <t>SM A</t>
  </si>
  <si>
    <t>SM B</t>
  </si>
  <si>
    <t>RTS-G</t>
  </si>
  <si>
    <t>SM D1</t>
  </si>
  <si>
    <t>SM D2</t>
  </si>
  <si>
    <t>PAMA</t>
  </si>
  <si>
    <t>KMI</t>
  </si>
  <si>
    <t>DUM</t>
  </si>
  <si>
    <t>BIMA</t>
  </si>
  <si>
    <t>Coal
(D)</t>
  </si>
  <si>
    <t>SR</t>
  </si>
  <si>
    <t>RTS-CD</t>
  </si>
  <si>
    <t>Average</t>
  </si>
  <si>
    <t>2. Status of Weekly Exposed Stock : PAMA</t>
    <phoneticPr fontId="84" type="noConversion"/>
  </si>
  <si>
    <t>( Short Report )</t>
  </si>
  <si>
    <t>TYPE</t>
  </si>
  <si>
    <t>Occasionally</t>
  </si>
  <si>
    <t>Daily</t>
  </si>
  <si>
    <t>Weekly</t>
  </si>
  <si>
    <t>Monthly</t>
  </si>
  <si>
    <t>Yearly</t>
  </si>
  <si>
    <t>PIT</t>
  </si>
  <si>
    <t>RTS A-G, RTM-N, SM6, SMB</t>
  </si>
  <si>
    <t>SMD</t>
  </si>
  <si>
    <t>SUSUBANG</t>
  </si>
  <si>
    <t>SMA</t>
  </si>
  <si>
    <t>CONTRACTOR</t>
  </si>
  <si>
    <t>PETROSEA</t>
  </si>
  <si>
    <t>SECTION</t>
  </si>
  <si>
    <t>PLANNING</t>
  </si>
  <si>
    <t>CH</t>
  </si>
  <si>
    <t>PIT SERVICE</t>
  </si>
  <si>
    <t>SAFETY</t>
  </si>
  <si>
    <t>ADMIN</t>
  </si>
  <si>
    <t>Report</t>
  </si>
  <si>
    <t>Stock Exposed</t>
  </si>
  <si>
    <t>Reported By</t>
  </si>
  <si>
    <t>Dani</t>
  </si>
  <si>
    <t>Pit / Sector</t>
  </si>
  <si>
    <t>Coal</t>
  </si>
  <si>
    <t>SEAM</t>
  </si>
  <si>
    <t>No</t>
  </si>
  <si>
    <t>BRAND</t>
  </si>
  <si>
    <t>P</t>
  </si>
  <si>
    <t>L</t>
  </si>
  <si>
    <t>T</t>
  </si>
  <si>
    <t>Rec</t>
  </si>
  <si>
    <t>ρ</t>
  </si>
  <si>
    <t>TON</t>
  </si>
  <si>
    <t>RTN / PIT-1</t>
  </si>
  <si>
    <t>1W</t>
  </si>
  <si>
    <t>1WA</t>
  </si>
  <si>
    <t>1WB</t>
  </si>
  <si>
    <t>1WC</t>
  </si>
  <si>
    <t>1WD</t>
  </si>
  <si>
    <t>1WE</t>
  </si>
  <si>
    <t>1WW</t>
  </si>
  <si>
    <t>2EE</t>
  </si>
  <si>
    <t>2W</t>
  </si>
  <si>
    <t>2WE</t>
  </si>
  <si>
    <t>2WW</t>
  </si>
  <si>
    <t>3EE</t>
  </si>
  <si>
    <t>3W</t>
  </si>
  <si>
    <t>3WW</t>
  </si>
  <si>
    <t>4EE</t>
  </si>
  <si>
    <t>4W</t>
  </si>
  <si>
    <t>RTN / PIT-2</t>
  </si>
  <si>
    <t>3WE</t>
  </si>
  <si>
    <t>4EW</t>
  </si>
  <si>
    <t>4WA</t>
  </si>
  <si>
    <t>5EE</t>
  </si>
  <si>
    <t>5WE</t>
  </si>
  <si>
    <t>6EE</t>
  </si>
  <si>
    <t>6WE</t>
  </si>
  <si>
    <t>7EE</t>
  </si>
  <si>
    <t>RTN / PIT-4</t>
  </si>
  <si>
    <t>4WW</t>
  </si>
  <si>
    <t>6WW</t>
  </si>
  <si>
    <t>6W</t>
  </si>
  <si>
    <t>7W</t>
  </si>
  <si>
    <t>7WW</t>
  </si>
  <si>
    <t>8W</t>
  </si>
  <si>
    <t>8WW</t>
  </si>
  <si>
    <t>9W</t>
  </si>
  <si>
    <t>9WW</t>
  </si>
  <si>
    <t>10W</t>
  </si>
  <si>
    <t>10WW</t>
  </si>
  <si>
    <t>11W</t>
  </si>
  <si>
    <t>11WW</t>
  </si>
  <si>
    <t>12W</t>
  </si>
  <si>
    <t>12WW</t>
  </si>
  <si>
    <t>13W</t>
  </si>
  <si>
    <t>13WW</t>
  </si>
  <si>
    <t>S.TTL Pit RTN</t>
  </si>
  <si>
    <t>10E</t>
  </si>
  <si>
    <t>12AE</t>
  </si>
  <si>
    <t>12AW</t>
  </si>
  <si>
    <t>12BAW</t>
  </si>
  <si>
    <t>12BBW</t>
  </si>
  <si>
    <t>12BCW</t>
  </si>
  <si>
    <t>12BE</t>
  </si>
  <si>
    <t>12E</t>
  </si>
  <si>
    <t>12BW</t>
  </si>
  <si>
    <t>13BW</t>
  </si>
  <si>
    <t>13CE</t>
  </si>
  <si>
    <t>13CW</t>
  </si>
  <si>
    <t>14AE</t>
  </si>
  <si>
    <t>14E</t>
  </si>
  <si>
    <t>14W</t>
  </si>
  <si>
    <t>14AW</t>
  </si>
  <si>
    <t>15E</t>
  </si>
  <si>
    <t>15W</t>
  </si>
  <si>
    <t>16E</t>
  </si>
  <si>
    <t>16W</t>
  </si>
  <si>
    <t>17E</t>
  </si>
  <si>
    <t>17W</t>
  </si>
  <si>
    <t>18W</t>
  </si>
  <si>
    <t>S.TTL Pit RTM</t>
  </si>
  <si>
    <t>RTS-B</t>
  </si>
  <si>
    <t>RTS-C5</t>
  </si>
  <si>
    <t>16WW</t>
  </si>
  <si>
    <t>18WW</t>
  </si>
  <si>
    <t>RTS-C4</t>
  </si>
  <si>
    <t>17WW</t>
  </si>
  <si>
    <t>RTS-C3</t>
  </si>
  <si>
    <t>15WW</t>
  </si>
  <si>
    <t>RTS-C2</t>
  </si>
  <si>
    <t>5WW</t>
  </si>
  <si>
    <t>RTS-C1</t>
  </si>
  <si>
    <t>13WWA</t>
  </si>
  <si>
    <t>RTS-D1</t>
  </si>
  <si>
    <t>14WW</t>
  </si>
  <si>
    <t>RTS-D2</t>
  </si>
  <si>
    <t>RTS-E1</t>
  </si>
  <si>
    <t>RTS-E2</t>
  </si>
  <si>
    <t>RTS-FU</t>
  </si>
  <si>
    <t>RTS-FS</t>
  </si>
  <si>
    <t>9WWA</t>
  </si>
  <si>
    <t>9WWB</t>
  </si>
  <si>
    <t>1A</t>
  </si>
  <si>
    <t>1B</t>
  </si>
  <si>
    <t>1C</t>
  </si>
  <si>
    <t>3WA</t>
  </si>
  <si>
    <t>3WB</t>
  </si>
  <si>
    <t>B6C</t>
  </si>
  <si>
    <t>SM 6</t>
  </si>
  <si>
    <t>SM 5</t>
  </si>
  <si>
    <t>SM 7</t>
  </si>
  <si>
    <t>SM 8</t>
  </si>
  <si>
    <t>SM 9</t>
  </si>
  <si>
    <t>SM 9A</t>
  </si>
  <si>
    <t>SM 10</t>
  </si>
  <si>
    <t>5A</t>
  </si>
  <si>
    <t>6_2</t>
  </si>
  <si>
    <t>6_1</t>
  </si>
  <si>
    <t>6B</t>
  </si>
  <si>
    <t>6A</t>
  </si>
  <si>
    <t>S-TTL RTN</t>
  </si>
  <si>
    <t>S-TTL RTM</t>
  </si>
  <si>
    <t>S-TTL RTS-CD</t>
  </si>
  <si>
    <t>S-TTL RTS-EF</t>
  </si>
  <si>
    <t>S-TTL RTS-G</t>
  </si>
  <si>
    <t>S.TTL PIT SM 6</t>
  </si>
  <si>
    <t>S.TTL PIT SM B</t>
  </si>
  <si>
    <t>G.TTL</t>
  </si>
  <si>
    <t>S/ROOM</t>
  </si>
  <si>
    <t>CAPACITY</t>
  </si>
  <si>
    <t>STOCK</t>
  </si>
  <si>
    <t>RS-Jl. C4</t>
  </si>
  <si>
    <t>TTL</t>
  </si>
  <si>
    <t>Coal Quality</t>
  </si>
  <si>
    <t>Coal Exposed Map RTN &amp; RTM</t>
  </si>
  <si>
    <t>Coal Exposed Map RTM</t>
  </si>
  <si>
    <t>Diggable</t>
  </si>
  <si>
    <t>Undiggable</t>
  </si>
  <si>
    <t>Plan Exposed</t>
  </si>
  <si>
    <t>Coal Exposed Map RTS</t>
  </si>
  <si>
    <t>Coal Exposed Map SM#6</t>
  </si>
  <si>
    <t>Coal Exposed Map SMB</t>
  </si>
  <si>
    <t>2. Status of Weekly Exposed Stock : PT SIMS</t>
    <phoneticPr fontId="88" type="noConversion"/>
  </si>
  <si>
    <t>Nelson</t>
  </si>
  <si>
    <t>SM 4A</t>
  </si>
  <si>
    <t>SM 4A3</t>
  </si>
  <si>
    <t>SM 4 B A3</t>
  </si>
  <si>
    <t>SM 4 A A3</t>
  </si>
  <si>
    <t>M4W</t>
  </si>
  <si>
    <t>SM AW</t>
  </si>
  <si>
    <t>M1AW</t>
  </si>
  <si>
    <t>M1BW</t>
  </si>
  <si>
    <t>M1CW</t>
  </si>
  <si>
    <t>M1DW</t>
  </si>
  <si>
    <t>M1FW</t>
  </si>
  <si>
    <t>M2AW</t>
  </si>
  <si>
    <t>M2BW</t>
  </si>
  <si>
    <t>M3W</t>
  </si>
  <si>
    <t>M5W</t>
  </si>
  <si>
    <t>SM 4</t>
  </si>
  <si>
    <t>SM 4B</t>
  </si>
  <si>
    <t>G.TTL Pit SM A</t>
  </si>
  <si>
    <t>TEMP. ROOM SMA</t>
  </si>
  <si>
    <t>Coal Exposed Map</t>
  </si>
  <si>
    <t>2. Status of Weekly Exposed Stock : PT PETROSEA</t>
    <phoneticPr fontId="88" type="noConversion"/>
  </si>
  <si>
    <t>Gustaf</t>
  </si>
  <si>
    <t>seam 3</t>
  </si>
  <si>
    <t>Seam 4</t>
  </si>
  <si>
    <t>Seam 5</t>
  </si>
  <si>
    <t>Seam 6</t>
  </si>
  <si>
    <t>Seam 7</t>
  </si>
  <si>
    <t>Seam 8</t>
  </si>
  <si>
    <t>SM D</t>
  </si>
  <si>
    <t>Seam 3 Barat</t>
  </si>
  <si>
    <t>Seam 5 Barat</t>
  </si>
  <si>
    <t>Seam 5 Timur</t>
  </si>
  <si>
    <t>Seam 5 Tengah</t>
  </si>
  <si>
    <t>Seam 6 Low Timur</t>
  </si>
  <si>
    <t>Seam 6 Low Barat</t>
  </si>
  <si>
    <t>G.TTL PIT SM B</t>
  </si>
  <si>
    <t>G.TTL PIT SM D</t>
  </si>
  <si>
    <t>TEMP. ROOM SMD</t>
  </si>
  <si>
    <t>Coal Exposed Map SMD</t>
  </si>
  <si>
    <t>2. Status of Weekly Exposed Stock : PT BIMA</t>
  </si>
  <si>
    <t>Hadjeri</t>
  </si>
  <si>
    <t>SB 1</t>
  </si>
  <si>
    <t>SSB 02</t>
  </si>
  <si>
    <t>SSB 03</t>
  </si>
  <si>
    <t>SSB 04</t>
  </si>
  <si>
    <t>SSB 05</t>
  </si>
  <si>
    <t>SSB 07</t>
  </si>
  <si>
    <t>SSB 08</t>
  </si>
  <si>
    <t>SSB 09</t>
  </si>
  <si>
    <t>SSB 11A</t>
  </si>
  <si>
    <t>SSB 11B</t>
  </si>
  <si>
    <t>SSB 12</t>
  </si>
  <si>
    <t>SSB 13</t>
  </si>
  <si>
    <t>SSB 14</t>
  </si>
  <si>
    <t>SSB 15</t>
  </si>
  <si>
    <t>SSB 16</t>
  </si>
  <si>
    <t>SSB 17</t>
  </si>
  <si>
    <t>SSB 18B</t>
  </si>
  <si>
    <t>SSB 19</t>
  </si>
  <si>
    <t>SSB 20</t>
  </si>
  <si>
    <t>SSB 21</t>
  </si>
  <si>
    <t>SSB 22</t>
  </si>
  <si>
    <t>SSB 23</t>
  </si>
  <si>
    <t>SSB 26</t>
  </si>
  <si>
    <t>SB 2</t>
  </si>
  <si>
    <t>SSB 18</t>
  </si>
  <si>
    <t>SSB 24</t>
  </si>
  <si>
    <t>SSB 25</t>
  </si>
  <si>
    <t>SSB 29</t>
  </si>
  <si>
    <t>SSB 30</t>
  </si>
  <si>
    <t>SSB 31</t>
  </si>
  <si>
    <t>Room SSB</t>
  </si>
  <si>
    <t>Keterangan :</t>
  </si>
  <si>
    <t>Expose</t>
  </si>
  <si>
    <t>2. Status of Weekly Exposed Stock : PT KMI</t>
  </si>
  <si>
    <t>RTS-ABCDEFG</t>
  </si>
  <si>
    <t>SM A, SM AW, SM6</t>
  </si>
  <si>
    <t>RTM, SM D</t>
  </si>
  <si>
    <t>BUMA</t>
  </si>
  <si>
    <t>PIT CONTROL</t>
  </si>
  <si>
    <t xml:space="preserve">Fendry </t>
  </si>
  <si>
    <t>3_1</t>
  </si>
  <si>
    <t>3_2</t>
  </si>
  <si>
    <t>4C</t>
  </si>
  <si>
    <t>4B</t>
  </si>
  <si>
    <t>8EE</t>
  </si>
  <si>
    <t>9EE</t>
  </si>
  <si>
    <t xml:space="preserve">Seam 6 Up </t>
  </si>
  <si>
    <t>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</si>
</sst>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2">
    <numFmt numFmtId="41" formatCode="_(* #,##0_);_(* \(#,##0\);_(* &quot;-&quot;_);_(@_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_-* #,##0_-;\-* #,##0_-;_-* &quot;-&quot;_-;_-@_-"/>
    <numFmt numFmtId="165" formatCode="_-* #,##0.00_-;\-* #,##0.00_-;_-* &quot;-&quot;??_-;_-@_-"/>
    <numFmt numFmtId="166" formatCode="_-&quot;₩&quot;* #,##0_-;\-&quot;₩&quot;* #,##0_-;_-&quot;₩&quot;* &quot;-&quot;_-;_-@_-"/>
    <numFmt numFmtId="167" formatCode="_(* #,##0_);_(* \(#,##0\);_(* &quot;-&quot;??_);_(@_)"/>
    <numFmt numFmtId="168" formatCode="#,##0_0;&quot;△&quot;#,##0_0"/>
    <numFmt numFmtId="169" formatCode="d"/>
    <numFmt numFmtId="170" formatCode="_-* #,##0.0_-;\-* #,##0.0_-;_-* &quot;-&quot;_-;_-@_-"/>
    <numFmt numFmtId="171" formatCode="[$-409]dddd\,\ dd\ mmmm\ yyyy;@"/>
    <numFmt numFmtId="172" formatCode="@* &quot;:&quot;"/>
    <numFmt numFmtId="173" formatCode="&quot;This Week (&quot;dd/mm&quot;)&quot;;@"/>
    <numFmt numFmtId="174" formatCode="&quot;Last Week (&quot;dd/mm&quot;)&quot;;@"/>
    <numFmt numFmtId="175" formatCode="&quot; ※ Appendix : Exposed Stock - &quot;[$-409]dd\ mmmm\ yyyy;@"/>
    <numFmt numFmtId="176" formatCode="mmmm\ \-\ yyyy"/>
    <numFmt numFmtId="177" formatCode="#,##0;\(#,##0\)"/>
    <numFmt numFmtId="178" formatCode="#,##0.00000;[Red]\-#,##0.00000"/>
    <numFmt numFmtId="179" formatCode="#,##0.0000000;[Red]\-#,##0.0000000"/>
    <numFmt numFmtId="180" formatCode="0.00_)"/>
    <numFmt numFmtId="181" formatCode="&quot;₩&quot;#,##0.00;&quot;₩&quot;&quot;₩&quot;&quot;₩&quot;&quot;₩&quot;&quot;₩&quot;&quot;₩&quot;&quot;₩&quot;\!\-#,##0.00"/>
    <numFmt numFmtId="182" formatCode="[$-F800]dddd\,\ mmmm\ dd\,\ yyyy"/>
    <numFmt numFmtId="183" formatCode="_ &quot;₩&quot;* #,##0_ ;_ &quot;₩&quot;* &quot;₩&quot;\-#,##0_ ;_ &quot;₩&quot;* &quot;-&quot;_ ;_ @_ "/>
    <numFmt numFmtId="184" formatCode="dd\ mmmm\ yyyy"/>
    <numFmt numFmtId="185" formatCode="dd\-mmm\-yyyy"/>
    <numFmt numFmtId="186" formatCode="dd\-mmmm\-yyyy"/>
    <numFmt numFmtId="187" formatCode="#,##0.0"/>
    <numFmt numFmtId="188" formatCode="0.0"/>
    <numFmt numFmtId="189" formatCode="_-* #,##0.00_-;\-* #,##0.00_-;_-* &quot;-&quot;_-;_-@_-"/>
    <numFmt numFmtId="190" formatCode="_(* #,##0_);[Red]_(* \-#,##0_);_(* &quot;-&quot;??_);_(@_)"/>
    <numFmt numFmtId="191" formatCode="_(* #,##0.0_);[Red]_(* \-#,##0.0_);_(* &quot;-&quot;??_);_(@_)"/>
    <numFmt numFmtId="192" formatCode="_(* #,##0.00_);[Red]_(* \-#,##0.00_);_(* &quot;-&quot;??_);_(@_)"/>
  </numFmts>
  <fonts count="116">
    <font>
      <sz val="11"/>
      <name val="돋움"/>
      <family val="3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name val="돋움"/>
      <family val="3"/>
    </font>
    <font>
      <u/>
      <sz val="11"/>
      <color indexed="12"/>
      <name val="돋움"/>
      <family val="3"/>
    </font>
    <font>
      <sz val="10"/>
      <name val="Arial"/>
      <family val="2"/>
    </font>
    <font>
      <sz val="8"/>
      <name val="돋움"/>
      <family val="3"/>
    </font>
    <font>
      <sz val="10"/>
      <name val="Arial"/>
      <family val="2"/>
    </font>
    <font>
      <u/>
      <sz val="9"/>
      <color indexed="12"/>
      <name val="GulimChe"/>
      <family val="3"/>
    </font>
    <font>
      <sz val="11"/>
      <color indexed="8"/>
      <name val="Calibri"/>
      <family val="2"/>
    </font>
    <font>
      <sz val="11"/>
      <color indexed="9"/>
      <name val="Calibri"/>
      <family val="2"/>
    </font>
    <font>
      <b/>
      <sz val="11"/>
      <color indexed="52"/>
      <name val="Calibri"/>
      <family val="2"/>
    </font>
    <font>
      <b/>
      <sz val="11"/>
      <color indexed="9"/>
      <name val="Calibri"/>
      <family val="2"/>
    </font>
    <font>
      <i/>
      <sz val="11"/>
      <color indexed="23"/>
      <name val="Calibri"/>
      <family val="2"/>
    </font>
    <font>
      <sz val="11"/>
      <color indexed="17"/>
      <name val="Calibri"/>
      <family val="2"/>
    </font>
    <font>
      <b/>
      <sz val="15"/>
      <color indexed="62"/>
      <name val="Calibri"/>
      <family val="2"/>
    </font>
    <font>
      <b/>
      <sz val="13"/>
      <color indexed="62"/>
      <name val="Calibri"/>
      <family val="2"/>
    </font>
    <font>
      <b/>
      <sz val="11"/>
      <color indexed="62"/>
      <name val="Calibri"/>
      <family val="2"/>
    </font>
    <font>
      <sz val="11"/>
      <color indexed="62"/>
      <name val="Calibri"/>
      <family val="2"/>
    </font>
    <font>
      <sz val="11"/>
      <color indexed="52"/>
      <name val="Calibri"/>
      <family val="2"/>
    </font>
    <font>
      <sz val="11"/>
      <color indexed="60"/>
      <name val="Calibri"/>
      <family val="2"/>
    </font>
    <font>
      <b/>
      <sz val="11"/>
      <color indexed="63"/>
      <name val="Calibri"/>
      <family val="2"/>
    </font>
    <font>
      <b/>
      <sz val="18"/>
      <color indexed="62"/>
      <name val="Cambria"/>
      <family val="1"/>
    </font>
    <font>
      <b/>
      <sz val="11"/>
      <color indexed="8"/>
      <name val="Calibri"/>
      <family val="2"/>
    </font>
    <font>
      <sz val="11"/>
      <color indexed="10"/>
      <name val="Calibri"/>
      <family val="2"/>
    </font>
    <font>
      <sz val="11"/>
      <color indexed="20"/>
      <name val="Calibri"/>
      <family val="2"/>
    </font>
    <font>
      <sz val="11"/>
      <color indexed="8"/>
      <name val="Calibri"/>
      <family val="2"/>
    </font>
    <font>
      <sz val="11"/>
      <color theme="1"/>
      <name val="Calibri"/>
      <family val="2"/>
      <scheme val="minor"/>
    </font>
    <font>
      <sz val="12"/>
      <name val="Arial"/>
      <family val="2"/>
    </font>
    <font>
      <sz val="10"/>
      <name val="MS Sans Serif"/>
      <family val="2"/>
    </font>
    <font>
      <b/>
      <sz val="14"/>
      <name val="Arial"/>
      <family val="2"/>
    </font>
    <font>
      <b/>
      <sz val="12"/>
      <name val="Arial"/>
      <family val="2"/>
    </font>
    <font>
      <sz val="11"/>
      <name val="Arial"/>
      <family val="2"/>
    </font>
    <font>
      <b/>
      <sz val="20"/>
      <name val="Arial"/>
      <family val="2"/>
    </font>
    <font>
      <b/>
      <sz val="16"/>
      <name val="Arial"/>
      <family val="2"/>
    </font>
    <font>
      <sz val="10"/>
      <color indexed="8"/>
      <name val="MS Sans Serif"/>
      <family val="2"/>
    </font>
    <font>
      <b/>
      <u/>
      <sz val="18"/>
      <name val="Arial"/>
      <family val="2"/>
    </font>
    <font>
      <sz val="14"/>
      <name val="Arial"/>
      <family val="2"/>
    </font>
    <font>
      <sz val="12"/>
      <name val="바탕체"/>
      <family val="1"/>
      <charset val="129"/>
    </font>
    <font>
      <sz val="11"/>
      <name val="돋움"/>
      <family val="3"/>
      <charset val="129"/>
    </font>
    <font>
      <sz val="11"/>
      <color indexed="8"/>
      <name val="맑은 고딕"/>
      <family val="3"/>
      <charset val="129"/>
    </font>
    <font>
      <sz val="11"/>
      <color indexed="9"/>
      <name val="맑은 고딕"/>
      <family val="3"/>
      <charset val="129"/>
    </font>
    <font>
      <b/>
      <sz val="10"/>
      <name val="Helv"/>
      <family val="2"/>
    </font>
    <font>
      <sz val="11"/>
      <color theme="1"/>
      <name val="Calibri"/>
      <family val="2"/>
      <charset val="1"/>
      <scheme val="minor"/>
    </font>
    <font>
      <sz val="10"/>
      <name val="Times New Roman"/>
      <family val="1"/>
    </font>
    <font>
      <sz val="8"/>
      <name val="Arial"/>
      <family val="2"/>
    </font>
    <font>
      <b/>
      <sz val="12"/>
      <name val="Helv"/>
      <family val="2"/>
    </font>
    <font>
      <b/>
      <sz val="15"/>
      <color indexed="56"/>
      <name val="Calibri"/>
      <family val="2"/>
    </font>
    <font>
      <b/>
      <sz val="13"/>
      <color indexed="56"/>
      <name val="Calibri"/>
      <family val="2"/>
    </font>
    <font>
      <b/>
      <sz val="11"/>
      <color indexed="56"/>
      <name val="Calibri"/>
      <family val="2"/>
    </font>
    <font>
      <u/>
      <sz val="10"/>
      <color indexed="12"/>
      <name val="Arial"/>
      <family val="2"/>
    </font>
    <font>
      <b/>
      <sz val="11"/>
      <name val="Helv"/>
      <family val="2"/>
    </font>
    <font>
      <b/>
      <i/>
      <sz val="16"/>
      <name val="Helv"/>
      <family val="2"/>
    </font>
    <font>
      <sz val="11"/>
      <name val="HY그래픽M"/>
      <family val="1"/>
      <charset val="129"/>
    </font>
    <font>
      <sz val="9"/>
      <name val="‚l‚r ‚oƒSƒVƒbƒN"/>
      <family val="3"/>
      <charset val="128"/>
    </font>
    <font>
      <b/>
      <sz val="18"/>
      <color indexed="56"/>
      <name val="Cambria"/>
      <family val="1"/>
    </font>
    <font>
      <b/>
      <sz val="18"/>
      <color indexed="56"/>
      <name val="Cambria"/>
      <family val="2"/>
    </font>
    <font>
      <sz val="11"/>
      <color indexed="10"/>
      <name val="맑은 고딕"/>
      <family val="3"/>
      <charset val="129"/>
    </font>
    <font>
      <b/>
      <sz val="11"/>
      <color indexed="52"/>
      <name val="맑은 고딕"/>
      <family val="3"/>
      <charset val="129"/>
    </font>
    <font>
      <sz val="11"/>
      <color indexed="20"/>
      <name val="맑은 고딕"/>
      <family val="3"/>
      <charset val="129"/>
    </font>
    <font>
      <sz val="14"/>
      <name val="뼻뮝"/>
      <family val="3"/>
      <charset val="129"/>
    </font>
    <font>
      <sz val="11"/>
      <color indexed="60"/>
      <name val="맑은 고딕"/>
      <family val="3"/>
      <charset val="129"/>
    </font>
    <font>
      <sz val="12"/>
      <name val="뼻뮝"/>
      <family val="1"/>
      <charset val="129"/>
    </font>
    <font>
      <i/>
      <sz val="11"/>
      <color indexed="23"/>
      <name val="맑은 고딕"/>
      <family val="3"/>
      <charset val="129"/>
    </font>
    <font>
      <b/>
      <sz val="11"/>
      <color indexed="9"/>
      <name val="맑은 고딕"/>
      <family val="3"/>
      <charset val="129"/>
    </font>
    <font>
      <sz val="11"/>
      <color theme="1"/>
      <name val="Calibri"/>
      <family val="3"/>
      <charset val="129"/>
      <scheme val="minor"/>
    </font>
    <font>
      <sz val="11"/>
      <color indexed="52"/>
      <name val="맑은 고딕"/>
      <family val="3"/>
      <charset val="129"/>
    </font>
    <font>
      <b/>
      <sz val="11"/>
      <color indexed="8"/>
      <name val="맑은 고딕"/>
      <family val="3"/>
      <charset val="129"/>
    </font>
    <font>
      <sz val="11"/>
      <color indexed="62"/>
      <name val="맑은 고딕"/>
      <family val="3"/>
      <charset val="129"/>
    </font>
    <font>
      <sz val="12"/>
      <color indexed="24"/>
      <name val="바탕체"/>
      <family val="1"/>
      <charset val="129"/>
    </font>
    <font>
      <b/>
      <sz val="18"/>
      <color indexed="56"/>
      <name val="맑은 고딕"/>
      <family val="3"/>
      <charset val="129"/>
    </font>
    <font>
      <b/>
      <sz val="15"/>
      <color indexed="56"/>
      <name val="맑은 고딕"/>
      <family val="3"/>
      <charset val="129"/>
    </font>
    <font>
      <b/>
      <sz val="13"/>
      <color indexed="56"/>
      <name val="맑은 고딕"/>
      <family val="3"/>
      <charset val="129"/>
    </font>
    <font>
      <b/>
      <sz val="11"/>
      <color indexed="56"/>
      <name val="맑은 고딕"/>
      <family val="3"/>
      <charset val="129"/>
    </font>
    <font>
      <b/>
      <sz val="18"/>
      <color indexed="62"/>
      <name val="맑은 고딕"/>
      <family val="3"/>
      <charset val="129"/>
    </font>
    <font>
      <sz val="11"/>
      <color indexed="17"/>
      <name val="맑은 고딕"/>
      <family val="3"/>
      <charset val="129"/>
    </font>
    <font>
      <b/>
      <sz val="11"/>
      <color indexed="63"/>
      <name val="맑은 고딕"/>
      <family val="3"/>
      <charset val="129"/>
    </font>
    <font>
      <sz val="12"/>
      <name val="굴림"/>
      <family val="3"/>
      <charset val="129"/>
    </font>
    <font>
      <sz val="12"/>
      <name val="굴림체"/>
      <family val="3"/>
      <charset val="129"/>
    </font>
    <font>
      <sz val="8"/>
      <name val="BatangChe"/>
      <family val="3"/>
      <charset val="129"/>
    </font>
    <font>
      <b/>
      <sz val="10"/>
      <name val="Arial"/>
      <family val="2"/>
    </font>
    <font>
      <b/>
      <sz val="8"/>
      <name val="Arial"/>
      <family val="2"/>
    </font>
    <font>
      <b/>
      <sz val="11"/>
      <color rgb="FFFF0000"/>
      <name val="Arial"/>
      <family val="2"/>
    </font>
    <font>
      <b/>
      <sz val="11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9"/>
      <color indexed="8"/>
      <name val="Arial"/>
      <family val="2"/>
    </font>
    <font>
      <sz val="13"/>
      <name val="Arial"/>
      <family val="2"/>
    </font>
    <font>
      <sz val="7"/>
      <name val="Arial"/>
      <family val="2"/>
    </font>
    <font>
      <u/>
      <sz val="10"/>
      <name val="Arial"/>
      <family val="2"/>
    </font>
    <font>
      <sz val="8"/>
      <color theme="1"/>
      <name val="Arial"/>
      <family val="2"/>
    </font>
    <font>
      <sz val="8"/>
      <name val="Tahoma"/>
      <family val="2"/>
    </font>
    <font>
      <sz val="8"/>
      <color theme="1"/>
      <name val="Tahoma"/>
      <family val="2"/>
    </font>
    <font>
      <b/>
      <sz val="24"/>
      <name val="HY신명조"/>
      <family val="1"/>
      <charset val="129"/>
    </font>
    <font>
      <sz val="11"/>
      <color rgb="FF9C0006"/>
      <name val="Calibri"/>
      <family val="2"/>
      <scheme val="minor"/>
    </font>
    <font>
      <b/>
      <sz val="16"/>
      <name val="MS Sans Serif"/>
      <family val="2"/>
    </font>
    <font>
      <sz val="8"/>
      <color theme="0"/>
      <name val="Arial"/>
      <family val="2"/>
    </font>
    <font>
      <sz val="8"/>
      <color theme="0"/>
      <name val="Tahoma"/>
      <family val="2"/>
    </font>
    <font>
      <b/>
      <sz val="8"/>
      <color theme="0"/>
      <name val="Arial"/>
      <family val="2"/>
    </font>
    <font>
      <b/>
      <u val="singleAccounting"/>
      <sz val="9"/>
      <name val="Arial"/>
      <family val="2"/>
    </font>
    <font>
      <b/>
      <sz val="9"/>
      <color theme="0"/>
      <name val="Arial"/>
      <family val="2"/>
    </font>
    <font>
      <sz val="8"/>
      <color rgb="FF000000"/>
      <name val="Arial"/>
      <family val="2"/>
    </font>
    <font>
      <b/>
      <sz val="11"/>
      <color theme="1"/>
      <name val="Calibri"/>
      <family val="2"/>
      <scheme val="minor"/>
    </font>
    <font>
      <sz val="11"/>
      <name val="Abadi"/>
      <family val="2"/>
    </font>
    <font>
      <sz val="10"/>
      <color rgb="FF000000"/>
      <name val="Arial"/>
      <family val="2"/>
    </font>
    <font>
      <sz val="10"/>
      <color rgb="FF000000"/>
      <name val="Arial"/>
      <family val="2"/>
    </font>
    <font>
      <sz val="10"/>
      <name val="Tahoma"/>
      <family val="2"/>
    </font>
  </fonts>
  <fills count="41">
    <fill>
      <patternFill patternType="none"/>
    </fill>
    <fill>
      <patternFill patternType="gray125"/>
    </fill>
    <fill>
      <patternFill patternType="solid">
        <fgColor indexed="9"/>
      </patternFill>
    </fill>
    <fill>
      <patternFill patternType="solid">
        <fgColor indexed="45"/>
      </patternFill>
    </fill>
    <fill>
      <patternFill patternType="solid">
        <fgColor indexed="47"/>
      </patternFill>
    </fill>
    <fill>
      <patternFill patternType="solid">
        <fgColor indexed="42"/>
      </patternFill>
    </fill>
    <fill>
      <patternFill patternType="solid">
        <fgColor indexed="26"/>
      </patternFill>
    </fill>
    <fill>
      <patternFill patternType="solid">
        <fgColor indexed="27"/>
      </patternFill>
    </fill>
    <fill>
      <patternFill patternType="solid">
        <fgColor indexed="44"/>
      </patternFill>
    </fill>
    <fill>
      <patternFill patternType="solid">
        <fgColor indexed="22"/>
      </patternFill>
    </fill>
    <fill>
      <patternFill patternType="solid">
        <fgColor indexed="29"/>
      </patternFill>
    </fill>
    <fill>
      <patternFill patternType="solid">
        <fgColor indexed="43"/>
      </patternFill>
    </fill>
    <fill>
      <patternFill patternType="solid">
        <fgColor indexed="49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4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31"/>
      </patternFill>
    </fill>
    <fill>
      <patternFill patternType="solid">
        <fgColor indexed="46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theme="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C7CE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92D05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FFFF"/>
        <bgColor rgb="FFFFFFCC"/>
      </patternFill>
    </fill>
  </fills>
  <borders count="239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thick">
        <color indexed="49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49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/>
      <bottom/>
      <diagonal/>
    </border>
    <border>
      <left style="thin">
        <color indexed="64"/>
      </left>
      <right style="hair">
        <color indexed="64"/>
      </right>
      <top style="double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/>
      <bottom/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thin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/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/>
      <bottom style="double">
        <color indexed="64"/>
      </bottom>
      <diagonal/>
    </border>
    <border>
      <left style="hair">
        <color indexed="64"/>
      </left>
      <right style="hair">
        <color indexed="64"/>
      </right>
      <top/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 style="hair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 style="thin">
        <color indexed="64"/>
      </bottom>
      <diagonal/>
    </border>
    <border>
      <left/>
      <right style="hair">
        <color indexed="64"/>
      </right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hair">
        <color indexed="64"/>
      </left>
      <right/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/>
      <top style="double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/>
      <right style="hair">
        <color indexed="64"/>
      </right>
      <top style="hair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medium">
        <color indexed="30"/>
      </bottom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/>
      <right style="hair">
        <color indexed="64"/>
      </right>
      <top style="hair">
        <color indexed="64"/>
      </top>
      <bottom/>
      <diagonal/>
    </border>
    <border>
      <left/>
      <right/>
      <top style="hair">
        <color indexed="64"/>
      </top>
      <bottom/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thin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hair">
        <color indexed="64"/>
      </left>
      <right style="hair">
        <color indexed="64"/>
      </right>
      <top/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hair">
        <color indexed="64"/>
      </right>
      <top style="double">
        <color indexed="64"/>
      </top>
      <bottom/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hair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</borders>
  <cellStyleXfs count="2436">
    <xf numFmtId="0" fontId="0" fillId="0" borderId="0">
      <alignment vertical="center"/>
    </xf>
    <xf numFmtId="0" fontId="18" fillId="2" borderId="0" applyNumberFormat="0" applyBorder="0" applyAlignment="0" applyProtection="0"/>
    <xf numFmtId="0" fontId="18" fillId="4" borderId="0" applyNumberFormat="0" applyBorder="0" applyAlignment="0" applyProtection="0"/>
    <xf numFmtId="0" fontId="18" fillId="6" borderId="0" applyNumberFormat="0" applyBorder="0" applyAlignment="0" applyProtection="0"/>
    <xf numFmtId="0" fontId="18" fillId="2" borderId="0" applyNumberFormat="0" applyBorder="0" applyAlignment="0" applyProtection="0"/>
    <xf numFmtId="0" fontId="18" fillId="7" borderId="0" applyNumberFormat="0" applyBorder="0" applyAlignment="0" applyProtection="0"/>
    <xf numFmtId="0" fontId="18" fillId="4" borderId="0" applyNumberFormat="0" applyBorder="0" applyAlignment="0" applyProtection="0"/>
    <xf numFmtId="0" fontId="18" fillId="9" borderId="0" applyNumberFormat="0" applyBorder="0" applyAlignment="0" applyProtection="0"/>
    <xf numFmtId="0" fontId="18" fillId="10" borderId="0" applyNumberFormat="0" applyBorder="0" applyAlignment="0" applyProtection="0"/>
    <xf numFmtId="0" fontId="18" fillId="11" borderId="0" applyNumberFormat="0" applyBorder="0" applyAlignment="0" applyProtection="0"/>
    <xf numFmtId="0" fontId="18" fillId="9" borderId="0" applyNumberFormat="0" applyBorder="0" applyAlignment="0" applyProtection="0"/>
    <xf numFmtId="0" fontId="18" fillId="8" borderId="0" applyNumberFormat="0" applyBorder="0" applyAlignment="0" applyProtection="0"/>
    <xf numFmtId="0" fontId="18" fillId="4" borderId="0" applyNumberFormat="0" applyBorder="0" applyAlignment="0" applyProtection="0"/>
    <xf numFmtId="0" fontId="19" fillId="12" borderId="0" applyNumberFormat="0" applyBorder="0" applyAlignment="0" applyProtection="0"/>
    <xf numFmtId="0" fontId="19" fillId="10" borderId="0" applyNumberFormat="0" applyBorder="0" applyAlignment="0" applyProtection="0"/>
    <xf numFmtId="0" fontId="19" fillId="11" borderId="0" applyNumberFormat="0" applyBorder="0" applyAlignment="0" applyProtection="0"/>
    <xf numFmtId="0" fontId="19" fillId="9" borderId="0" applyNumberFormat="0" applyBorder="0" applyAlignment="0" applyProtection="0"/>
    <xf numFmtId="0" fontId="19" fillId="12" borderId="0" applyNumberFormat="0" applyBorder="0" applyAlignment="0" applyProtection="0"/>
    <xf numFmtId="0" fontId="19" fillId="4" borderId="0" applyNumberFormat="0" applyBorder="0" applyAlignment="0" applyProtection="0"/>
    <xf numFmtId="0" fontId="19" fillId="12" borderId="0" applyNumberFormat="0" applyBorder="0" applyAlignment="0" applyProtection="0"/>
    <xf numFmtId="0" fontId="19" fillId="13" borderId="0" applyNumberFormat="0" applyBorder="0" applyAlignment="0" applyProtection="0"/>
    <xf numFmtId="0" fontId="19" fillId="14" borderId="0" applyNumberFormat="0" applyBorder="0" applyAlignment="0" applyProtection="0"/>
    <xf numFmtId="0" fontId="19" fillId="15" borderId="0" applyNumberFormat="0" applyBorder="0" applyAlignment="0" applyProtection="0"/>
    <xf numFmtId="0" fontId="19" fillId="12" borderId="0" applyNumberFormat="0" applyBorder="0" applyAlignment="0" applyProtection="0"/>
    <xf numFmtId="0" fontId="19" fillId="16" borderId="0" applyNumberFormat="0" applyBorder="0" applyAlignment="0" applyProtection="0"/>
    <xf numFmtId="0" fontId="34" fillId="3" borderId="0" applyNumberFormat="0" applyBorder="0" applyAlignment="0" applyProtection="0"/>
    <xf numFmtId="0" fontId="20" fillId="2" borderId="1" applyNumberFormat="0" applyAlignment="0" applyProtection="0"/>
    <xf numFmtId="0" fontId="21" fillId="17" borderId="2" applyNumberFormat="0" applyAlignment="0" applyProtection="0"/>
    <xf numFmtId="165" fontId="12" fillId="0" borderId="0" applyFont="0" applyFill="0" applyBorder="0" applyAlignment="0" applyProtection="0">
      <alignment vertical="center"/>
    </xf>
    <xf numFmtId="164" fontId="12" fillId="0" borderId="0" applyFont="0" applyFill="0" applyBorder="0" applyAlignment="0" applyProtection="0">
      <alignment vertical="center"/>
    </xf>
    <xf numFmtId="43" fontId="16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14" fillId="0" borderId="0" applyFont="0" applyFill="0" applyBorder="0" applyAlignment="0" applyProtection="0"/>
    <xf numFmtId="166" fontId="12" fillId="0" borderId="0" applyFont="0" applyFill="0" applyBorder="0" applyAlignment="0" applyProtection="0">
      <alignment vertical="center"/>
    </xf>
    <xf numFmtId="0" fontId="22" fillId="0" borderId="0" applyNumberFormat="0" applyFill="0" applyBorder="0" applyAlignment="0" applyProtection="0"/>
    <xf numFmtId="0" fontId="23" fillId="5" borderId="0" applyNumberFormat="0" applyBorder="0" applyAlignment="0" applyProtection="0"/>
    <xf numFmtId="0" fontId="24" fillId="0" borderId="3" applyNumberFormat="0" applyFill="0" applyAlignment="0" applyProtection="0"/>
    <xf numFmtId="0" fontId="25" fillId="0" borderId="4" applyNumberFormat="0" applyFill="0" applyAlignment="0" applyProtection="0"/>
    <xf numFmtId="0" fontId="26" fillId="0" borderId="5" applyNumberFormat="0" applyFill="0" applyAlignment="0" applyProtection="0"/>
    <xf numFmtId="0" fontId="26" fillId="0" borderId="0" applyNumberFormat="0" applyFill="0" applyBorder="0" applyAlignment="0" applyProtection="0"/>
    <xf numFmtId="0" fontId="13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27" fillId="4" borderId="1" applyNumberFormat="0" applyAlignment="0" applyProtection="0"/>
    <xf numFmtId="0" fontId="28" fillId="0" borderId="6" applyNumberFormat="0" applyFill="0" applyAlignment="0" applyProtection="0"/>
    <xf numFmtId="0" fontId="29" fillId="11" borderId="0" applyNumberFormat="0" applyBorder="0" applyAlignment="0" applyProtection="0"/>
    <xf numFmtId="0" fontId="16" fillId="0" borderId="0"/>
    <xf numFmtId="0" fontId="14" fillId="0" borderId="0"/>
    <xf numFmtId="0" fontId="14" fillId="0" borderId="0"/>
    <xf numFmtId="0" fontId="36" fillId="0" borderId="0"/>
    <xf numFmtId="0" fontId="14" fillId="6" borderId="7" applyNumberFormat="0" applyFont="0" applyAlignment="0" applyProtection="0"/>
    <xf numFmtId="0" fontId="30" fillId="2" borderId="8" applyNumberFormat="0" applyAlignment="0" applyProtection="0"/>
    <xf numFmtId="9" fontId="16" fillId="0" borderId="0" applyFont="0" applyFill="0" applyBorder="0" applyAlignment="0" applyProtection="0"/>
    <xf numFmtId="9" fontId="14" fillId="0" borderId="0" applyFont="0" applyFill="0" applyBorder="0" applyAlignment="0" applyProtection="0"/>
    <xf numFmtId="9" fontId="14" fillId="0" borderId="0" applyFont="0" applyFill="0" applyBorder="0" applyAlignment="0" applyProtection="0"/>
    <xf numFmtId="0" fontId="31" fillId="0" borderId="0" applyNumberFormat="0" applyFill="0" applyBorder="0" applyAlignment="0" applyProtection="0"/>
    <xf numFmtId="0" fontId="32" fillId="0" borderId="9" applyNumberFormat="0" applyFill="0" applyAlignment="0" applyProtection="0"/>
    <xf numFmtId="0" fontId="33" fillId="0" borderId="0" applyNumberFormat="0" applyFill="0" applyBorder="0" applyAlignment="0" applyProtection="0"/>
    <xf numFmtId="0" fontId="14" fillId="0" borderId="0"/>
    <xf numFmtId="0" fontId="38" fillId="0" borderId="0"/>
    <xf numFmtId="41" fontId="38" fillId="0" borderId="0" applyFont="0" applyFill="0" applyBorder="0" applyAlignment="0" applyProtection="0"/>
    <xf numFmtId="0" fontId="44" fillId="0" borderId="0"/>
    <xf numFmtId="0" fontId="14" fillId="0" borderId="0"/>
    <xf numFmtId="0" fontId="14" fillId="0" borderId="0"/>
    <xf numFmtId="0" fontId="47" fillId="0" borderId="0"/>
    <xf numFmtId="0" fontId="47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48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8" fillId="20" borderId="0" applyNumberFormat="0" applyBorder="0" applyAlignment="0" applyProtection="0"/>
    <xf numFmtId="0" fontId="18" fillId="2" borderId="0" applyNumberFormat="0" applyBorder="0" applyAlignment="0" applyProtection="0"/>
    <xf numFmtId="0" fontId="18" fillId="20" borderId="0" applyNumberFormat="0" applyBorder="0" applyAlignment="0" applyProtection="0"/>
    <xf numFmtId="0" fontId="18" fillId="20" borderId="0" applyNumberFormat="0" applyBorder="0" applyAlignment="0" applyProtection="0"/>
    <xf numFmtId="0" fontId="18" fillId="3" borderId="0" applyNumberFormat="0" applyBorder="0" applyAlignment="0" applyProtection="0"/>
    <xf numFmtId="0" fontId="18" fillId="4" borderId="0" applyNumberFormat="0" applyBorder="0" applyAlignment="0" applyProtection="0"/>
    <xf numFmtId="0" fontId="18" fillId="3" borderId="0" applyNumberFormat="0" applyBorder="0" applyAlignment="0" applyProtection="0"/>
    <xf numFmtId="0" fontId="18" fillId="3" borderId="0" applyNumberFormat="0" applyBorder="0" applyAlignment="0" applyProtection="0"/>
    <xf numFmtId="0" fontId="18" fillId="5" borderId="0" applyNumberFormat="0" applyBorder="0" applyAlignment="0" applyProtection="0"/>
    <xf numFmtId="0" fontId="18" fillId="6" borderId="0" applyNumberFormat="0" applyBorder="0" applyAlignment="0" applyProtection="0"/>
    <xf numFmtId="0" fontId="18" fillId="5" borderId="0" applyNumberFormat="0" applyBorder="0" applyAlignment="0" applyProtection="0"/>
    <xf numFmtId="0" fontId="18" fillId="5" borderId="0" applyNumberFormat="0" applyBorder="0" applyAlignment="0" applyProtection="0"/>
    <xf numFmtId="0" fontId="18" fillId="21" borderId="0" applyNumberFormat="0" applyBorder="0" applyAlignment="0" applyProtection="0"/>
    <xf numFmtId="0" fontId="18" fillId="2" borderId="0" applyNumberFormat="0" applyBorder="0" applyAlignment="0" applyProtection="0"/>
    <xf numFmtId="0" fontId="18" fillId="21" borderId="0" applyNumberFormat="0" applyBorder="0" applyAlignment="0" applyProtection="0"/>
    <xf numFmtId="0" fontId="18" fillId="21" borderId="0" applyNumberFormat="0" applyBorder="0" applyAlignment="0" applyProtection="0"/>
    <xf numFmtId="0" fontId="18" fillId="7" borderId="0" applyNumberFormat="0" applyBorder="0" applyAlignment="0" applyProtection="0"/>
    <xf numFmtId="0" fontId="18" fillId="7" borderId="0" applyNumberFormat="0" applyBorder="0" applyAlignment="0" applyProtection="0"/>
    <xf numFmtId="0" fontId="18" fillId="7" borderId="0" applyNumberFormat="0" applyBorder="0" applyAlignment="0" applyProtection="0"/>
    <xf numFmtId="0" fontId="18" fillId="4" borderId="0" applyNumberFormat="0" applyBorder="0" applyAlignment="0" applyProtection="0"/>
    <xf numFmtId="0" fontId="18" fillId="4" borderId="0" applyNumberFormat="0" applyBorder="0" applyAlignment="0" applyProtection="0"/>
    <xf numFmtId="0" fontId="18" fillId="4" borderId="0" applyNumberFormat="0" applyBorder="0" applyAlignment="0" applyProtection="0"/>
    <xf numFmtId="0" fontId="49" fillId="20" borderId="0" applyNumberFormat="0" applyBorder="0" applyAlignment="0" applyProtection="0">
      <alignment vertical="center"/>
    </xf>
    <xf numFmtId="0" fontId="49" fillId="3" borderId="0" applyNumberFormat="0" applyBorder="0" applyAlignment="0" applyProtection="0">
      <alignment vertical="center"/>
    </xf>
    <xf numFmtId="0" fontId="49" fillId="5" borderId="0" applyNumberFormat="0" applyBorder="0" applyAlignment="0" applyProtection="0">
      <alignment vertical="center"/>
    </xf>
    <xf numFmtId="0" fontId="49" fillId="21" borderId="0" applyNumberFormat="0" applyBorder="0" applyAlignment="0" applyProtection="0">
      <alignment vertical="center"/>
    </xf>
    <xf numFmtId="0" fontId="49" fillId="7" borderId="0" applyNumberFormat="0" applyBorder="0" applyAlignment="0" applyProtection="0">
      <alignment vertical="center"/>
    </xf>
    <xf numFmtId="0" fontId="49" fillId="4" borderId="0" applyNumberFormat="0" applyBorder="0" applyAlignment="0" applyProtection="0">
      <alignment vertical="center"/>
    </xf>
    <xf numFmtId="0" fontId="18" fillId="8" borderId="0" applyNumberFormat="0" applyBorder="0" applyAlignment="0" applyProtection="0"/>
    <xf numFmtId="0" fontId="18" fillId="9" borderId="0" applyNumberFormat="0" applyBorder="0" applyAlignment="0" applyProtection="0"/>
    <xf numFmtId="0" fontId="18" fillId="8" borderId="0" applyNumberFormat="0" applyBorder="0" applyAlignment="0" applyProtection="0"/>
    <xf numFmtId="0" fontId="18" fillId="8" borderId="0" applyNumberFormat="0" applyBorder="0" applyAlignment="0" applyProtection="0"/>
    <xf numFmtId="0" fontId="18" fillId="10" borderId="0" applyNumberFormat="0" applyBorder="0" applyAlignment="0" applyProtection="0"/>
    <xf numFmtId="0" fontId="18" fillId="10" borderId="0" applyNumberFormat="0" applyBorder="0" applyAlignment="0" applyProtection="0"/>
    <xf numFmtId="0" fontId="18" fillId="10" borderId="0" applyNumberFormat="0" applyBorder="0" applyAlignment="0" applyProtection="0"/>
    <xf numFmtId="0" fontId="18" fillId="22" borderId="0" applyNumberFormat="0" applyBorder="0" applyAlignment="0" applyProtection="0"/>
    <xf numFmtId="0" fontId="18" fillId="11" borderId="0" applyNumberFormat="0" applyBorder="0" applyAlignment="0" applyProtection="0"/>
    <xf numFmtId="0" fontId="18" fillId="22" borderId="0" applyNumberFormat="0" applyBorder="0" applyAlignment="0" applyProtection="0"/>
    <xf numFmtId="0" fontId="18" fillId="22" borderId="0" applyNumberFormat="0" applyBorder="0" applyAlignment="0" applyProtection="0"/>
    <xf numFmtId="0" fontId="18" fillId="21" borderId="0" applyNumberFormat="0" applyBorder="0" applyAlignment="0" applyProtection="0"/>
    <xf numFmtId="0" fontId="18" fillId="9" borderId="0" applyNumberFormat="0" applyBorder="0" applyAlignment="0" applyProtection="0"/>
    <xf numFmtId="0" fontId="18" fillId="21" borderId="0" applyNumberFormat="0" applyBorder="0" applyAlignment="0" applyProtection="0"/>
    <xf numFmtId="0" fontId="18" fillId="21" borderId="0" applyNumberFormat="0" applyBorder="0" applyAlignment="0" applyProtection="0"/>
    <xf numFmtId="0" fontId="18" fillId="8" borderId="0" applyNumberFormat="0" applyBorder="0" applyAlignment="0" applyProtection="0"/>
    <xf numFmtId="0" fontId="18" fillId="8" borderId="0" applyNumberFormat="0" applyBorder="0" applyAlignment="0" applyProtection="0"/>
    <xf numFmtId="0" fontId="18" fillId="8" borderId="0" applyNumberFormat="0" applyBorder="0" applyAlignment="0" applyProtection="0"/>
    <xf numFmtId="0" fontId="18" fillId="23" borderId="0" applyNumberFormat="0" applyBorder="0" applyAlignment="0" applyProtection="0"/>
    <xf numFmtId="0" fontId="18" fillId="4" borderId="0" applyNumberFormat="0" applyBorder="0" applyAlignment="0" applyProtection="0"/>
    <xf numFmtId="0" fontId="18" fillId="23" borderId="0" applyNumberFormat="0" applyBorder="0" applyAlignment="0" applyProtection="0"/>
    <xf numFmtId="0" fontId="18" fillId="23" borderId="0" applyNumberFormat="0" applyBorder="0" applyAlignment="0" applyProtection="0"/>
    <xf numFmtId="0" fontId="49" fillId="8" borderId="0" applyNumberFormat="0" applyBorder="0" applyAlignment="0" applyProtection="0">
      <alignment vertical="center"/>
    </xf>
    <xf numFmtId="0" fontId="49" fillId="10" borderId="0" applyNumberFormat="0" applyBorder="0" applyAlignment="0" applyProtection="0">
      <alignment vertical="center"/>
    </xf>
    <xf numFmtId="0" fontId="49" fillId="22" borderId="0" applyNumberFormat="0" applyBorder="0" applyAlignment="0" applyProtection="0">
      <alignment vertical="center"/>
    </xf>
    <xf numFmtId="0" fontId="49" fillId="21" borderId="0" applyNumberFormat="0" applyBorder="0" applyAlignment="0" applyProtection="0">
      <alignment vertical="center"/>
    </xf>
    <xf numFmtId="0" fontId="49" fillId="8" borderId="0" applyNumberFormat="0" applyBorder="0" applyAlignment="0" applyProtection="0">
      <alignment vertical="center"/>
    </xf>
    <xf numFmtId="0" fontId="49" fillId="23" borderId="0" applyNumberFormat="0" applyBorder="0" applyAlignment="0" applyProtection="0">
      <alignment vertical="center"/>
    </xf>
    <xf numFmtId="0" fontId="19" fillId="24" borderId="0" applyNumberFormat="0" applyBorder="0" applyAlignment="0" applyProtection="0"/>
    <xf numFmtId="0" fontId="19" fillId="12" borderId="0" applyNumberFormat="0" applyBorder="0" applyAlignment="0" applyProtection="0"/>
    <xf numFmtId="0" fontId="19" fillId="24" borderId="0" applyNumberFormat="0" applyBorder="0" applyAlignment="0" applyProtection="0"/>
    <xf numFmtId="0" fontId="19" fillId="24" borderId="0" applyNumberFormat="0" applyBorder="0" applyAlignment="0" applyProtection="0"/>
    <xf numFmtId="0" fontId="19" fillId="10" borderId="0" applyNumberFormat="0" applyBorder="0" applyAlignment="0" applyProtection="0"/>
    <xf numFmtId="0" fontId="19" fillId="10" borderId="0" applyNumberFormat="0" applyBorder="0" applyAlignment="0" applyProtection="0"/>
    <xf numFmtId="0" fontId="19" fillId="10" borderId="0" applyNumberFormat="0" applyBorder="0" applyAlignment="0" applyProtection="0"/>
    <xf numFmtId="0" fontId="19" fillId="22" borderId="0" applyNumberFormat="0" applyBorder="0" applyAlignment="0" applyProtection="0"/>
    <xf numFmtId="0" fontId="19" fillId="11" borderId="0" applyNumberFormat="0" applyBorder="0" applyAlignment="0" applyProtection="0"/>
    <xf numFmtId="0" fontId="19" fillId="22" borderId="0" applyNumberFormat="0" applyBorder="0" applyAlignment="0" applyProtection="0"/>
    <xf numFmtId="0" fontId="19" fillId="22" borderId="0" applyNumberFormat="0" applyBorder="0" applyAlignment="0" applyProtection="0"/>
    <xf numFmtId="0" fontId="19" fillId="25" borderId="0" applyNumberFormat="0" applyBorder="0" applyAlignment="0" applyProtection="0"/>
    <xf numFmtId="0" fontId="19" fillId="9" borderId="0" applyNumberFormat="0" applyBorder="0" applyAlignment="0" applyProtection="0"/>
    <xf numFmtId="0" fontId="19" fillId="25" borderId="0" applyNumberFormat="0" applyBorder="0" applyAlignment="0" applyProtection="0"/>
    <xf numFmtId="0" fontId="19" fillId="25" borderId="0" applyNumberFormat="0" applyBorder="0" applyAlignment="0" applyProtection="0"/>
    <xf numFmtId="0" fontId="19" fillId="12" borderId="0" applyNumberFormat="0" applyBorder="0" applyAlignment="0" applyProtection="0"/>
    <xf numFmtId="0" fontId="19" fillId="12" borderId="0" applyNumberFormat="0" applyBorder="0" applyAlignment="0" applyProtection="0"/>
    <xf numFmtId="0" fontId="19" fillId="12" borderId="0" applyNumberFormat="0" applyBorder="0" applyAlignment="0" applyProtection="0"/>
    <xf numFmtId="0" fontId="19" fillId="26" borderId="0" applyNumberFormat="0" applyBorder="0" applyAlignment="0" applyProtection="0"/>
    <xf numFmtId="0" fontId="19" fillId="4" borderId="0" applyNumberFormat="0" applyBorder="0" applyAlignment="0" applyProtection="0"/>
    <xf numFmtId="0" fontId="19" fillId="26" borderId="0" applyNumberFormat="0" applyBorder="0" applyAlignment="0" applyProtection="0"/>
    <xf numFmtId="0" fontId="19" fillId="26" borderId="0" applyNumberFormat="0" applyBorder="0" applyAlignment="0" applyProtection="0"/>
    <xf numFmtId="0" fontId="50" fillId="24" borderId="0" applyNumberFormat="0" applyBorder="0" applyAlignment="0" applyProtection="0">
      <alignment vertical="center"/>
    </xf>
    <xf numFmtId="0" fontId="50" fillId="10" borderId="0" applyNumberFormat="0" applyBorder="0" applyAlignment="0" applyProtection="0">
      <alignment vertical="center"/>
    </xf>
    <xf numFmtId="0" fontId="50" fillId="22" borderId="0" applyNumberFormat="0" applyBorder="0" applyAlignment="0" applyProtection="0">
      <alignment vertical="center"/>
    </xf>
    <xf numFmtId="0" fontId="50" fillId="25" borderId="0" applyNumberFormat="0" applyBorder="0" applyAlignment="0" applyProtection="0">
      <alignment vertical="center"/>
    </xf>
    <xf numFmtId="0" fontId="50" fillId="12" borderId="0" applyNumberFormat="0" applyBorder="0" applyAlignment="0" applyProtection="0">
      <alignment vertical="center"/>
    </xf>
    <xf numFmtId="0" fontId="50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/>
    <xf numFmtId="0" fontId="19" fillId="12" borderId="0" applyNumberFormat="0" applyBorder="0" applyAlignment="0" applyProtection="0"/>
    <xf numFmtId="0" fontId="19" fillId="27" borderId="0" applyNumberFormat="0" applyBorder="0" applyAlignment="0" applyProtection="0"/>
    <xf numFmtId="0" fontId="19" fillId="27" borderId="0" applyNumberFormat="0" applyBorder="0" applyAlignment="0" applyProtection="0"/>
    <xf numFmtId="0" fontId="19" fillId="13" borderId="0" applyNumberFormat="0" applyBorder="0" applyAlignment="0" applyProtection="0"/>
    <xf numFmtId="0" fontId="19" fillId="13" borderId="0" applyNumberFormat="0" applyBorder="0" applyAlignment="0" applyProtection="0"/>
    <xf numFmtId="0" fontId="19" fillId="13" borderId="0" applyNumberFormat="0" applyBorder="0" applyAlignment="0" applyProtection="0"/>
    <xf numFmtId="0" fontId="19" fillId="14" borderId="0" applyNumberFormat="0" applyBorder="0" applyAlignment="0" applyProtection="0"/>
    <xf numFmtId="0" fontId="19" fillId="14" borderId="0" applyNumberFormat="0" applyBorder="0" applyAlignment="0" applyProtection="0"/>
    <xf numFmtId="0" fontId="19" fillId="14" borderId="0" applyNumberFormat="0" applyBorder="0" applyAlignment="0" applyProtection="0"/>
    <xf numFmtId="0" fontId="19" fillId="25" borderId="0" applyNumberFormat="0" applyBorder="0" applyAlignment="0" applyProtection="0"/>
    <xf numFmtId="0" fontId="19" fillId="15" borderId="0" applyNumberFormat="0" applyBorder="0" applyAlignment="0" applyProtection="0"/>
    <xf numFmtId="0" fontId="19" fillId="25" borderId="0" applyNumberFormat="0" applyBorder="0" applyAlignment="0" applyProtection="0"/>
    <xf numFmtId="0" fontId="19" fillId="25" borderId="0" applyNumberFormat="0" applyBorder="0" applyAlignment="0" applyProtection="0"/>
    <xf numFmtId="0" fontId="19" fillId="12" borderId="0" applyNumberFormat="0" applyBorder="0" applyAlignment="0" applyProtection="0"/>
    <xf numFmtId="0" fontId="19" fillId="12" borderId="0" applyNumberFormat="0" applyBorder="0" applyAlignment="0" applyProtection="0"/>
    <xf numFmtId="0" fontId="19" fillId="12" borderId="0" applyNumberFormat="0" applyBorder="0" applyAlignment="0" applyProtection="0"/>
    <xf numFmtId="0" fontId="19" fillId="16" borderId="0" applyNumberFormat="0" applyBorder="0" applyAlignment="0" applyProtection="0"/>
    <xf numFmtId="0" fontId="19" fillId="16" borderId="0" applyNumberFormat="0" applyBorder="0" applyAlignment="0" applyProtection="0"/>
    <xf numFmtId="0" fontId="19" fillId="16" borderId="0" applyNumberFormat="0" applyBorder="0" applyAlignment="0" applyProtection="0"/>
    <xf numFmtId="0" fontId="14" fillId="0" borderId="0" applyNumberFormat="0" applyFont="0" applyFill="0" applyBorder="0" applyAlignment="0">
      <protection locked="0"/>
    </xf>
    <xf numFmtId="0" fontId="14" fillId="0" borderId="0" applyNumberFormat="0" applyFont="0" applyFill="0" applyBorder="0" applyAlignment="0">
      <protection locked="0"/>
    </xf>
    <xf numFmtId="0" fontId="34" fillId="3" borderId="0" applyNumberFormat="0" applyBorder="0" applyAlignment="0" applyProtection="0"/>
    <xf numFmtId="0" fontId="34" fillId="3" borderId="0" applyNumberFormat="0" applyBorder="0" applyAlignment="0" applyProtection="0"/>
    <xf numFmtId="0" fontId="34" fillId="3" borderId="0" applyNumberFormat="0" applyBorder="0" applyAlignment="0" applyProtection="0"/>
    <xf numFmtId="0" fontId="20" fillId="9" borderId="1" applyNumberFormat="0" applyAlignment="0" applyProtection="0"/>
    <xf numFmtId="0" fontId="20" fillId="2" borderId="1" applyNumberFormat="0" applyAlignment="0" applyProtection="0"/>
    <xf numFmtId="0" fontId="20" fillId="9" borderId="1" applyNumberFormat="0" applyAlignment="0" applyProtection="0"/>
    <xf numFmtId="0" fontId="20" fillId="9" borderId="1" applyNumberFormat="0" applyAlignment="0" applyProtection="0"/>
    <xf numFmtId="0" fontId="51" fillId="0" borderId="0"/>
    <xf numFmtId="0" fontId="21" fillId="17" borderId="2" applyNumberFormat="0" applyAlignment="0" applyProtection="0"/>
    <xf numFmtId="0" fontId="21" fillId="17" borderId="2" applyNumberFormat="0" applyAlignment="0" applyProtection="0"/>
    <xf numFmtId="0" fontId="21" fillId="17" borderId="2" applyNumberFormat="0" applyAlignment="0" applyProtection="0"/>
    <xf numFmtId="41" fontId="18" fillId="0" borderId="0" applyFont="0" applyFill="0" applyBorder="0" applyAlignment="0" applyProtection="0"/>
    <xf numFmtId="41" fontId="18" fillId="0" borderId="0" applyFont="0" applyFill="0" applyBorder="0" applyAlignment="0" applyProtection="0"/>
    <xf numFmtId="41" fontId="18" fillId="0" borderId="0" applyFont="0" applyFill="0" applyBorder="0" applyAlignment="0" applyProtection="0"/>
    <xf numFmtId="164" fontId="48" fillId="0" borderId="0" applyFont="0" applyFill="0" applyBorder="0" applyAlignment="0" applyProtection="0">
      <alignment vertical="center"/>
    </xf>
    <xf numFmtId="41" fontId="14" fillId="0" borderId="0" applyFont="0" applyFill="0" applyBorder="0" applyAlignment="0" applyProtection="0"/>
    <xf numFmtId="164" fontId="48" fillId="0" borderId="0" applyFont="0" applyFill="0" applyBorder="0" applyAlignment="0" applyProtection="0">
      <alignment vertical="center"/>
    </xf>
    <xf numFmtId="41" fontId="14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38" fillId="0" borderId="0" applyFont="0" applyFill="0" applyBorder="0" applyAlignment="0" applyProtection="0"/>
    <xf numFmtId="41" fontId="14" fillId="0" borderId="0" applyFont="0" applyFill="0" applyBorder="0" applyAlignment="0" applyProtection="0"/>
    <xf numFmtId="43" fontId="18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18" fillId="0" borderId="0" applyFont="0" applyFill="0" applyBorder="0" applyAlignment="0" applyProtection="0"/>
    <xf numFmtId="43" fontId="18" fillId="0" borderId="0" applyFont="0" applyFill="0" applyBorder="0" applyAlignment="0" applyProtection="0"/>
    <xf numFmtId="43" fontId="14" fillId="0" borderId="0" applyFont="0" applyFill="0" applyBorder="0" applyAlignment="0" applyProtection="0"/>
    <xf numFmtId="165" fontId="48" fillId="0" borderId="0" applyFont="0" applyFill="0" applyBorder="0" applyAlignment="0" applyProtection="0">
      <alignment vertical="center"/>
    </xf>
    <xf numFmtId="43" fontId="14" fillId="0" borderId="0" applyFont="0" applyFill="0" applyBorder="0" applyAlignment="0" applyProtection="0"/>
    <xf numFmtId="43" fontId="14" fillId="0" borderId="0" applyFont="0" applyFill="0" applyBorder="0" applyAlignment="0" applyProtection="0"/>
    <xf numFmtId="165" fontId="48" fillId="0" borderId="0" applyFont="0" applyFill="0" applyBorder="0" applyAlignment="0" applyProtection="0">
      <alignment vertical="center"/>
    </xf>
    <xf numFmtId="43" fontId="14" fillId="0" borderId="0" applyFont="0" applyFill="0" applyBorder="0" applyAlignment="0" applyProtection="0"/>
    <xf numFmtId="43" fontId="18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18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52" fillId="0" borderId="0" applyFont="0" applyFill="0" applyBorder="0" applyAlignment="0" applyProtection="0"/>
    <xf numFmtId="43" fontId="52" fillId="0" borderId="0" applyFont="0" applyFill="0" applyBorder="0" applyAlignment="0" applyProtection="0"/>
    <xf numFmtId="43" fontId="52" fillId="0" borderId="0" applyFont="0" applyFill="0" applyBorder="0" applyAlignment="0" applyProtection="0"/>
    <xf numFmtId="43" fontId="14" fillId="0" borderId="0" applyFont="0" applyFill="0" applyBorder="0" applyAlignment="0" applyProtection="0"/>
    <xf numFmtId="177" fontId="53" fillId="0" borderId="0"/>
    <xf numFmtId="166" fontId="48" fillId="0" borderId="0" applyFont="0" applyFill="0" applyBorder="0" applyAlignment="0" applyProtection="0">
      <alignment vertical="center"/>
    </xf>
    <xf numFmtId="166" fontId="48" fillId="0" borderId="0" applyFont="0" applyFill="0" applyBorder="0" applyAlignment="0" applyProtection="0">
      <alignment vertical="center"/>
    </xf>
    <xf numFmtId="166" fontId="48" fillId="0" borderId="0" applyFont="0" applyFill="0" applyBorder="0" applyAlignment="0" applyProtection="0">
      <alignment vertical="center"/>
    </xf>
    <xf numFmtId="44" fontId="14" fillId="0" borderId="0" applyFont="0" applyFill="0" applyBorder="0" applyAlignment="0" applyProtection="0"/>
    <xf numFmtId="44" fontId="14" fillId="0" borderId="0" applyFont="0" applyFill="0" applyBorder="0" applyAlignment="0" applyProtection="0"/>
    <xf numFmtId="178" fontId="14" fillId="0" borderId="0"/>
    <xf numFmtId="178" fontId="14" fillId="0" borderId="0"/>
    <xf numFmtId="179" fontId="14" fillId="0" borderId="0"/>
    <xf numFmtId="179" fontId="14" fillId="0" borderId="0"/>
    <xf numFmtId="0" fontId="22" fillId="0" borderId="0" applyNumberFormat="0" applyFill="0" applyBorder="0" applyAlignment="0" applyProtection="0"/>
    <xf numFmtId="0" fontId="22" fillId="0" borderId="0" applyNumberFormat="0" applyFill="0" applyBorder="0" applyAlignment="0" applyProtection="0"/>
    <xf numFmtId="0" fontId="22" fillId="0" borderId="0" applyNumberFormat="0" applyFill="0" applyBorder="0" applyAlignment="0" applyProtection="0"/>
    <xf numFmtId="0" fontId="23" fillId="5" borderId="0" applyNumberFormat="0" applyBorder="0" applyAlignment="0" applyProtection="0"/>
    <xf numFmtId="0" fontId="23" fillId="5" borderId="0" applyNumberFormat="0" applyBorder="0" applyAlignment="0" applyProtection="0"/>
    <xf numFmtId="0" fontId="23" fillId="5" borderId="0" applyNumberFormat="0" applyBorder="0" applyAlignment="0" applyProtection="0"/>
    <xf numFmtId="38" fontId="54" fillId="19" borderId="0" applyNumberFormat="0" applyBorder="0" applyAlignment="0" applyProtection="0"/>
    <xf numFmtId="0" fontId="55" fillId="0" borderId="0">
      <alignment horizontal="left"/>
    </xf>
    <xf numFmtId="0" fontId="40" fillId="0" borderId="86" applyNumberFormat="0" applyAlignment="0" applyProtection="0">
      <alignment horizontal="left" vertical="center"/>
    </xf>
    <xf numFmtId="0" fontId="40" fillId="0" borderId="53">
      <alignment horizontal="left" vertical="center"/>
    </xf>
    <xf numFmtId="0" fontId="56" fillId="0" borderId="87" applyNumberFormat="0" applyFill="0" applyAlignment="0" applyProtection="0"/>
    <xf numFmtId="0" fontId="24" fillId="0" borderId="3" applyNumberFormat="0" applyFill="0" applyAlignment="0" applyProtection="0"/>
    <xf numFmtId="0" fontId="56" fillId="0" borderId="87" applyNumberFormat="0" applyFill="0" applyAlignment="0" applyProtection="0"/>
    <xf numFmtId="0" fontId="56" fillId="0" borderId="87" applyNumberFormat="0" applyFill="0" applyAlignment="0" applyProtection="0"/>
    <xf numFmtId="0" fontId="57" fillId="0" borderId="4" applyNumberFormat="0" applyFill="0" applyAlignment="0" applyProtection="0"/>
    <xf numFmtId="0" fontId="25" fillId="0" borderId="4" applyNumberFormat="0" applyFill="0" applyAlignment="0" applyProtection="0"/>
    <xf numFmtId="0" fontId="57" fillId="0" borderId="4" applyNumberFormat="0" applyFill="0" applyAlignment="0" applyProtection="0"/>
    <xf numFmtId="0" fontId="57" fillId="0" borderId="4" applyNumberFormat="0" applyFill="0" applyAlignment="0" applyProtection="0"/>
    <xf numFmtId="0" fontId="58" fillId="0" borderId="88" applyNumberFormat="0" applyFill="0" applyAlignment="0" applyProtection="0"/>
    <xf numFmtId="0" fontId="26" fillId="0" borderId="5" applyNumberFormat="0" applyFill="0" applyAlignment="0" applyProtection="0"/>
    <xf numFmtId="0" fontId="58" fillId="0" borderId="88" applyNumberFormat="0" applyFill="0" applyAlignment="0" applyProtection="0"/>
    <xf numFmtId="0" fontId="58" fillId="0" borderId="88" applyNumberFormat="0" applyFill="0" applyAlignment="0" applyProtection="0"/>
    <xf numFmtId="0" fontId="58" fillId="0" borderId="0" applyNumberFormat="0" applyFill="0" applyBorder="0" applyAlignment="0" applyProtection="0"/>
    <xf numFmtId="0" fontId="26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17" fillId="0" borderId="0" applyNumberFormat="0" applyFill="0" applyBorder="0" applyAlignment="0" applyProtection="0">
      <alignment vertical="top"/>
      <protection locked="0"/>
    </xf>
    <xf numFmtId="0" fontId="59" fillId="0" borderId="0" applyNumberFormat="0" applyFill="0" applyBorder="0" applyAlignment="0" applyProtection="0">
      <alignment vertical="top"/>
      <protection locked="0"/>
    </xf>
    <xf numFmtId="10" fontId="54" fillId="19" borderId="10" applyNumberFormat="0" applyBorder="0" applyAlignment="0" applyProtection="0"/>
    <xf numFmtId="0" fontId="27" fillId="4" borderId="1" applyNumberFormat="0" applyAlignment="0" applyProtection="0"/>
    <xf numFmtId="0" fontId="27" fillId="4" borderId="1" applyNumberFormat="0" applyAlignment="0" applyProtection="0"/>
    <xf numFmtId="0" fontId="27" fillId="4" borderId="1" applyNumberFormat="0" applyAlignment="0" applyProtection="0"/>
    <xf numFmtId="0" fontId="27" fillId="4" borderId="1" applyNumberFormat="0" applyAlignment="0" applyProtection="0"/>
    <xf numFmtId="0" fontId="28" fillId="0" borderId="6" applyNumberFormat="0" applyFill="0" applyAlignment="0" applyProtection="0"/>
    <xf numFmtId="0" fontId="28" fillId="0" borderId="6" applyNumberFormat="0" applyFill="0" applyAlignment="0" applyProtection="0"/>
    <xf numFmtId="0" fontId="28" fillId="0" borderId="6" applyNumberFormat="0" applyFill="0" applyAlignment="0" applyProtection="0"/>
    <xf numFmtId="0" fontId="60" fillId="0" borderId="89"/>
    <xf numFmtId="0" fontId="29" fillId="11" borderId="0" applyNumberFormat="0" applyBorder="0" applyAlignment="0" applyProtection="0"/>
    <xf numFmtId="0" fontId="29" fillId="11" borderId="0" applyNumberFormat="0" applyBorder="0" applyAlignment="0" applyProtection="0"/>
    <xf numFmtId="0" fontId="29" fillId="11" borderId="0" applyNumberFormat="0" applyBorder="0" applyAlignment="0" applyProtection="0"/>
    <xf numFmtId="180" fontId="61" fillId="0" borderId="0"/>
    <xf numFmtId="181" fontId="47" fillId="0" borderId="0"/>
    <xf numFmtId="181" fontId="47" fillId="0" borderId="0"/>
    <xf numFmtId="0" fontId="14" fillId="0" borderId="0"/>
    <xf numFmtId="0" fontId="14" fillId="0" borderId="0"/>
    <xf numFmtId="182" fontId="14" fillId="0" borderId="0"/>
    <xf numFmtId="0" fontId="14" fillId="0" borderId="0"/>
    <xf numFmtId="182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1" fillId="0" borderId="0"/>
    <xf numFmtId="0" fontId="38" fillId="0" borderId="0"/>
    <xf numFmtId="0" fontId="38" fillId="0" borderId="0"/>
    <xf numFmtId="0" fontId="11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6" borderId="7" applyNumberFormat="0" applyFont="0" applyAlignment="0" applyProtection="0"/>
    <xf numFmtId="0" fontId="14" fillId="6" borderId="7" applyNumberFormat="0" applyFont="0" applyAlignment="0" applyProtection="0"/>
    <xf numFmtId="0" fontId="14" fillId="6" borderId="7" applyNumberFormat="0" applyFont="0" applyAlignment="0" applyProtection="0"/>
    <xf numFmtId="43" fontId="14" fillId="0" borderId="0" applyFont="0" applyFill="0" applyBorder="0" applyAlignment="0" applyProtection="0"/>
    <xf numFmtId="41" fontId="14" fillId="0" borderId="0" applyFont="0" applyFill="0" applyBorder="0" applyAlignment="0" applyProtection="0"/>
    <xf numFmtId="0" fontId="30" fillId="9" borderId="8" applyNumberFormat="0" applyAlignment="0" applyProtection="0"/>
    <xf numFmtId="0" fontId="30" fillId="2" borderId="8" applyNumberFormat="0" applyAlignment="0" applyProtection="0"/>
    <xf numFmtId="0" fontId="30" fillId="9" borderId="8" applyNumberFormat="0" applyAlignment="0" applyProtection="0"/>
    <xf numFmtId="0" fontId="30" fillId="9" borderId="8" applyNumberFormat="0" applyAlignment="0" applyProtection="0"/>
    <xf numFmtId="10" fontId="14" fillId="0" borderId="0" applyFont="0" applyFill="0" applyBorder="0" applyAlignment="0" applyProtection="0"/>
    <xf numFmtId="10" fontId="14" fillId="0" borderId="0" applyFont="0" applyFill="0" applyBorder="0" applyAlignment="0" applyProtection="0"/>
    <xf numFmtId="9" fontId="14" fillId="0" borderId="0" applyFont="0" applyFill="0" applyBorder="0" applyAlignment="0" applyProtection="0"/>
    <xf numFmtId="9" fontId="14" fillId="0" borderId="0" applyFont="0" applyFill="0" applyBorder="0" applyAlignment="0" applyProtection="0"/>
    <xf numFmtId="9" fontId="62" fillId="0" borderId="0" applyFont="0" applyFill="0" applyBorder="0" applyAlignment="0" applyProtection="0">
      <alignment vertical="center"/>
    </xf>
    <xf numFmtId="9" fontId="38" fillId="0" borderId="0" applyFont="0" applyFill="0" applyBorder="0" applyAlignment="0" applyProtection="0"/>
    <xf numFmtId="9" fontId="14" fillId="0" borderId="0" applyFont="0" applyFill="0" applyBorder="0" applyAlignment="0" applyProtection="0"/>
    <xf numFmtId="9" fontId="18" fillId="0" borderId="0" applyFont="0" applyFill="0" applyBorder="0" applyAlignment="0" applyProtection="0"/>
    <xf numFmtId="9" fontId="14" fillId="0" borderId="0" applyFont="0" applyFill="0" applyBorder="0" applyAlignment="0" applyProtection="0"/>
    <xf numFmtId="177" fontId="14" fillId="0" borderId="0"/>
    <xf numFmtId="177" fontId="14" fillId="0" borderId="0"/>
    <xf numFmtId="0" fontId="63" fillId="0" borderId="0"/>
    <xf numFmtId="0" fontId="14" fillId="0" borderId="0"/>
    <xf numFmtId="0" fontId="14" fillId="0" borderId="0"/>
    <xf numFmtId="0" fontId="60" fillId="0" borderId="0"/>
    <xf numFmtId="0" fontId="64" fillId="0" borderId="0" applyNumberFormat="0" applyFill="0" applyBorder="0" applyAlignment="0" applyProtection="0"/>
    <xf numFmtId="0" fontId="31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32" fillId="0" borderId="90" applyNumberFormat="0" applyFill="0" applyAlignment="0" applyProtection="0"/>
    <xf numFmtId="0" fontId="32" fillId="0" borderId="9" applyNumberFormat="0" applyFill="0" applyAlignment="0" applyProtection="0"/>
    <xf numFmtId="0" fontId="32" fillId="0" borderId="90" applyNumberFormat="0" applyFill="0" applyAlignment="0" applyProtection="0"/>
    <xf numFmtId="0" fontId="32" fillId="0" borderId="90" applyNumberFormat="0" applyFill="0" applyAlignment="0" applyProtection="0"/>
    <xf numFmtId="0" fontId="33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50" fillId="27" borderId="0" applyNumberFormat="0" applyBorder="0" applyAlignment="0" applyProtection="0">
      <alignment vertical="center"/>
    </xf>
    <xf numFmtId="0" fontId="50" fillId="13" borderId="0" applyNumberFormat="0" applyBorder="0" applyAlignment="0" applyProtection="0">
      <alignment vertical="center"/>
    </xf>
    <xf numFmtId="0" fontId="50" fillId="14" borderId="0" applyNumberFormat="0" applyBorder="0" applyAlignment="0" applyProtection="0">
      <alignment vertical="center"/>
    </xf>
    <xf numFmtId="0" fontId="50" fillId="25" borderId="0" applyNumberFormat="0" applyBorder="0" applyAlignment="0" applyProtection="0">
      <alignment vertical="center"/>
    </xf>
    <xf numFmtId="0" fontId="50" fillId="12" borderId="0" applyNumberFormat="0" applyBorder="0" applyAlignment="0" applyProtection="0">
      <alignment vertical="center"/>
    </xf>
    <xf numFmtId="0" fontId="50" fillId="16" borderId="0" applyNumberFormat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7" fillId="9" borderId="1" applyNumberFormat="0" applyAlignment="0" applyProtection="0">
      <alignment vertical="center"/>
    </xf>
    <xf numFmtId="0" fontId="68" fillId="3" borderId="0" applyNumberFormat="0" applyBorder="0" applyAlignment="0" applyProtection="0">
      <alignment vertical="center"/>
    </xf>
    <xf numFmtId="40" fontId="69" fillId="0" borderId="0" applyFont="0" applyFill="0" applyBorder="0" applyAlignment="0" applyProtection="0"/>
    <xf numFmtId="38" fontId="69" fillId="0" borderId="0" applyFont="0" applyFill="0" applyBorder="0" applyAlignment="0" applyProtection="0"/>
    <xf numFmtId="0" fontId="48" fillId="6" borderId="7" applyNumberFormat="0" applyFont="0" applyAlignment="0" applyProtection="0">
      <alignment vertical="center"/>
    </xf>
    <xf numFmtId="0" fontId="69" fillId="0" borderId="0" applyFont="0" applyFill="0" applyBorder="0" applyAlignment="0" applyProtection="0"/>
    <xf numFmtId="0" fontId="69" fillId="0" borderId="0" applyFont="0" applyFill="0" applyBorder="0" applyAlignment="0" applyProtection="0"/>
    <xf numFmtId="9" fontId="14" fillId="0" borderId="0" applyFont="0" applyFill="0" applyBorder="0" applyAlignment="0" applyProtection="0"/>
    <xf numFmtId="9" fontId="14" fillId="0" borderId="0" applyFont="0" applyFill="0" applyBorder="0" applyAlignment="0" applyProtection="0"/>
    <xf numFmtId="9" fontId="38" fillId="0" borderId="0" applyFont="0" applyFill="0" applyBorder="0" applyAlignment="0" applyProtection="0"/>
    <xf numFmtId="0" fontId="70" fillId="11" borderId="0" applyNumberFormat="0" applyBorder="0" applyAlignment="0" applyProtection="0">
      <alignment vertical="center"/>
    </xf>
    <xf numFmtId="0" fontId="71" fillId="0" borderId="0"/>
    <xf numFmtId="0" fontId="72" fillId="0" borderId="0" applyNumberFormat="0" applyFill="0" applyBorder="0" applyAlignment="0" applyProtection="0">
      <alignment vertical="center"/>
    </xf>
    <xf numFmtId="0" fontId="73" fillId="17" borderId="2" applyNumberFormat="0" applyAlignment="0" applyProtection="0">
      <alignment vertical="center"/>
    </xf>
    <xf numFmtId="168" fontId="14" fillId="0" borderId="0" applyFont="0" applyFill="0" applyBorder="0" applyAlignment="0" applyProtection="0"/>
    <xf numFmtId="164" fontId="74" fillId="0" borderId="0" applyFont="0" applyFill="0" applyBorder="0" applyAlignment="0" applyProtection="0">
      <alignment vertical="center"/>
    </xf>
    <xf numFmtId="168" fontId="14" fillId="0" borderId="0" applyFont="0" applyFill="0" applyBorder="0" applyAlignment="0" applyProtection="0"/>
    <xf numFmtId="168" fontId="14" fillId="0" borderId="0" applyFont="0" applyFill="0" applyBorder="0" applyAlignment="0" applyProtection="0"/>
    <xf numFmtId="168" fontId="14" fillId="0" borderId="0" applyFont="0" applyFill="0" applyBorder="0" applyAlignment="0" applyProtection="0"/>
    <xf numFmtId="168" fontId="14" fillId="0" borderId="0" applyFont="0" applyFill="0" applyBorder="0" applyAlignment="0" applyProtection="0"/>
    <xf numFmtId="168" fontId="14" fillId="0" borderId="0" applyFont="0" applyFill="0" applyBorder="0" applyAlignment="0" applyProtection="0"/>
    <xf numFmtId="168" fontId="14" fillId="0" borderId="0" applyFont="0" applyFill="0" applyBorder="0" applyAlignment="0" applyProtection="0"/>
    <xf numFmtId="168" fontId="14" fillId="0" borderId="0" applyFont="0" applyFill="0" applyBorder="0" applyAlignment="0" applyProtection="0"/>
    <xf numFmtId="164" fontId="48" fillId="0" borderId="0" applyFont="0" applyFill="0" applyBorder="0" applyAlignment="0" applyProtection="0"/>
    <xf numFmtId="41" fontId="14" fillId="0" borderId="0" applyFont="0" applyFill="0" applyBorder="0" applyAlignment="0" applyProtection="0"/>
    <xf numFmtId="167" fontId="14" fillId="0" borderId="0" applyFont="0" applyFill="0" applyBorder="0" applyAlignment="0" applyProtection="0"/>
    <xf numFmtId="167" fontId="14" fillId="0" borderId="0" applyFont="0" applyFill="0" applyBorder="0" applyAlignment="0" applyProtection="0"/>
    <xf numFmtId="167" fontId="14" fillId="0" borderId="0" applyFont="0" applyFill="0" applyBorder="0" applyAlignment="0" applyProtection="0"/>
    <xf numFmtId="167" fontId="14" fillId="0" borderId="0" applyFont="0" applyFill="0" applyBorder="0" applyAlignment="0" applyProtection="0"/>
    <xf numFmtId="167" fontId="14" fillId="0" borderId="0" applyFont="0" applyFill="0" applyBorder="0" applyAlignment="0" applyProtection="0"/>
    <xf numFmtId="167" fontId="14" fillId="0" borderId="0" applyFont="0" applyFill="0" applyBorder="0" applyAlignment="0" applyProtection="0"/>
    <xf numFmtId="165" fontId="48" fillId="0" borderId="0" applyFont="0" applyFill="0" applyBorder="0" applyAlignment="0" applyProtection="0"/>
    <xf numFmtId="43" fontId="38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14" fillId="0" borderId="0" applyFont="0" applyFill="0" applyBorder="0" applyAlignment="0" applyProtection="0"/>
    <xf numFmtId="0" fontId="14" fillId="0" borderId="0"/>
    <xf numFmtId="0" fontId="14" fillId="0" borderId="0"/>
    <xf numFmtId="0" fontId="75" fillId="0" borderId="6" applyNumberFormat="0" applyFill="0" applyAlignment="0" applyProtection="0">
      <alignment vertical="center"/>
    </xf>
    <xf numFmtId="0" fontId="76" fillId="0" borderId="90" applyNumberFormat="0" applyFill="0" applyAlignment="0" applyProtection="0">
      <alignment vertical="center"/>
    </xf>
    <xf numFmtId="0" fontId="77" fillId="4" borderId="1" applyNumberFormat="0" applyAlignment="0" applyProtection="0">
      <alignment vertical="center"/>
    </xf>
    <xf numFmtId="3" fontId="78" fillId="0" borderId="0" applyFont="0" applyFill="0" applyBorder="0" applyAlignment="0" applyProtection="0"/>
    <xf numFmtId="0" fontId="79" fillId="0" borderId="0" applyNumberFormat="0" applyFill="0" applyBorder="0" applyAlignment="0" applyProtection="0">
      <alignment vertical="center"/>
    </xf>
    <xf numFmtId="0" fontId="80" fillId="0" borderId="87" applyNumberFormat="0" applyFill="0" applyAlignment="0" applyProtection="0">
      <alignment vertical="center"/>
    </xf>
    <xf numFmtId="0" fontId="81" fillId="0" borderId="4" applyNumberFormat="0" applyFill="0" applyAlignment="0" applyProtection="0">
      <alignment vertical="center"/>
    </xf>
    <xf numFmtId="0" fontId="82" fillId="0" borderId="88" applyNumberFormat="0" applyFill="0" applyAlignment="0" applyProtection="0">
      <alignment vertical="center"/>
    </xf>
    <xf numFmtId="0" fontId="82" fillId="0" borderId="0" applyNumberFormat="0" applyFill="0" applyBorder="0" applyAlignment="0" applyProtection="0">
      <alignment vertical="center"/>
    </xf>
    <xf numFmtId="0" fontId="83" fillId="0" borderId="0" applyNumberFormat="0" applyFill="0" applyBorder="0" applyAlignment="0" applyProtection="0">
      <alignment vertical="center"/>
    </xf>
    <xf numFmtId="0" fontId="84" fillId="5" borderId="0" applyNumberFormat="0" applyBorder="0" applyAlignment="0" applyProtection="0">
      <alignment vertical="center"/>
    </xf>
    <xf numFmtId="0" fontId="85" fillId="9" borderId="8" applyNumberFormat="0" applyAlignment="0" applyProtection="0">
      <alignment vertical="center"/>
    </xf>
    <xf numFmtId="183" fontId="48" fillId="0" borderId="0" applyFont="0" applyFill="0" applyBorder="0" applyAlignment="0" applyProtection="0"/>
    <xf numFmtId="0" fontId="47" fillId="0" borderId="0" applyFont="0" applyFill="0" applyBorder="0" applyAlignment="0" applyProtection="0"/>
    <xf numFmtId="0" fontId="48" fillId="0" borderId="0">
      <alignment vertical="center"/>
    </xf>
    <xf numFmtId="0" fontId="14" fillId="0" borderId="0"/>
    <xf numFmtId="0" fontId="48" fillId="0" borderId="0"/>
    <xf numFmtId="0" fontId="14" fillId="0" borderId="0"/>
    <xf numFmtId="0" fontId="48" fillId="0" borderId="0"/>
    <xf numFmtId="0" fontId="14" fillId="0" borderId="0"/>
    <xf numFmtId="0" fontId="47" fillId="0" borderId="0"/>
    <xf numFmtId="0" fontId="18" fillId="0" borderId="0"/>
    <xf numFmtId="0" fontId="38" fillId="0" borderId="0"/>
    <xf numFmtId="0" fontId="38" fillId="0" borderId="0"/>
    <xf numFmtId="0" fontId="48" fillId="0" borderId="0">
      <alignment vertical="center"/>
    </xf>
    <xf numFmtId="0" fontId="62" fillId="0" borderId="0"/>
    <xf numFmtId="0" fontId="48" fillId="0" borderId="0">
      <alignment vertical="center"/>
    </xf>
    <xf numFmtId="0" fontId="86" fillId="0" borderId="0"/>
    <xf numFmtId="0" fontId="87" fillId="0" borderId="0"/>
    <xf numFmtId="0" fontId="86" fillId="0" borderId="0"/>
    <xf numFmtId="43" fontId="12" fillId="0" borderId="0" applyFont="0" applyFill="0" applyBorder="0" applyAlignment="0" applyProtection="0"/>
    <xf numFmtId="0" fontId="20" fillId="2" borderId="100" applyNumberFormat="0" applyAlignment="0" applyProtection="0"/>
    <xf numFmtId="0" fontId="27" fillId="4" borderId="100" applyNumberFormat="0" applyAlignment="0" applyProtection="0"/>
    <xf numFmtId="0" fontId="10" fillId="0" borderId="0"/>
    <xf numFmtId="0" fontId="14" fillId="6" borderId="101" applyNumberFormat="0" applyFont="0" applyAlignment="0" applyProtection="0"/>
    <xf numFmtId="0" fontId="30" fillId="2" borderId="102" applyNumberFormat="0" applyAlignment="0" applyProtection="0"/>
    <xf numFmtId="0" fontId="32" fillId="0" borderId="103" applyNumberFormat="0" applyFill="0" applyAlignment="0" applyProtection="0"/>
    <xf numFmtId="0" fontId="20" fillId="9" borderId="100" applyNumberFormat="0" applyAlignment="0" applyProtection="0"/>
    <xf numFmtId="0" fontId="20" fillId="2" borderId="100" applyNumberFormat="0" applyAlignment="0" applyProtection="0"/>
    <xf numFmtId="0" fontId="20" fillId="9" borderId="100" applyNumberFormat="0" applyAlignment="0" applyProtection="0"/>
    <xf numFmtId="0" fontId="20" fillId="9" borderId="100" applyNumberFormat="0" applyAlignment="0" applyProtection="0"/>
    <xf numFmtId="0" fontId="40" fillId="0" borderId="105">
      <alignment horizontal="left" vertical="center"/>
    </xf>
    <xf numFmtId="10" fontId="54" fillId="19" borderId="104" applyNumberFormat="0" applyBorder="0" applyAlignment="0" applyProtection="0"/>
    <xf numFmtId="0" fontId="27" fillId="4" borderId="100" applyNumberFormat="0" applyAlignment="0" applyProtection="0"/>
    <xf numFmtId="0" fontId="27" fillId="4" borderId="100" applyNumberFormat="0" applyAlignment="0" applyProtection="0"/>
    <xf numFmtId="0" fontId="27" fillId="4" borderId="100" applyNumberFormat="0" applyAlignment="0" applyProtection="0"/>
    <xf numFmtId="0" fontId="27" fillId="4" borderId="100" applyNumberFormat="0" applyAlignment="0" applyProtection="0"/>
    <xf numFmtId="0" fontId="10" fillId="0" borderId="0"/>
    <xf numFmtId="0" fontId="10" fillId="0" borderId="0"/>
    <xf numFmtId="0" fontId="14" fillId="6" borderId="101" applyNumberFormat="0" applyFont="0" applyAlignment="0" applyProtection="0"/>
    <xf numFmtId="0" fontId="14" fillId="6" borderId="101" applyNumberFormat="0" applyFont="0" applyAlignment="0" applyProtection="0"/>
    <xf numFmtId="0" fontId="14" fillId="6" borderId="101" applyNumberFormat="0" applyFont="0" applyAlignment="0" applyProtection="0"/>
    <xf numFmtId="0" fontId="30" fillId="9" borderId="102" applyNumberFormat="0" applyAlignment="0" applyProtection="0"/>
    <xf numFmtId="0" fontId="30" fillId="2" borderId="102" applyNumberFormat="0" applyAlignment="0" applyProtection="0"/>
    <xf numFmtId="0" fontId="30" fillId="9" borderId="102" applyNumberFormat="0" applyAlignment="0" applyProtection="0"/>
    <xf numFmtId="0" fontId="30" fillId="9" borderId="102" applyNumberFormat="0" applyAlignment="0" applyProtection="0"/>
    <xf numFmtId="0" fontId="32" fillId="0" borderId="103" applyNumberFormat="0" applyFill="0" applyAlignment="0" applyProtection="0"/>
    <xf numFmtId="0" fontId="67" fillId="9" borderId="100" applyNumberFormat="0" applyAlignment="0" applyProtection="0">
      <alignment vertical="center"/>
    </xf>
    <xf numFmtId="0" fontId="48" fillId="6" borderId="101" applyNumberFormat="0" applyFont="0" applyAlignment="0" applyProtection="0">
      <alignment vertical="center"/>
    </xf>
    <xf numFmtId="0" fontId="77" fillId="4" borderId="100" applyNumberFormat="0" applyAlignment="0" applyProtection="0">
      <alignment vertical="center"/>
    </xf>
    <xf numFmtId="0" fontId="85" fillId="9" borderId="102" applyNumberFormat="0" applyAlignment="0" applyProtection="0">
      <alignment vertical="center"/>
    </xf>
    <xf numFmtId="0" fontId="9" fillId="0" borderId="0"/>
    <xf numFmtId="0" fontId="27" fillId="4" borderId="112" applyNumberFormat="0" applyAlignment="0" applyProtection="0"/>
    <xf numFmtId="10" fontId="54" fillId="19" borderId="116" applyNumberFormat="0" applyBorder="0" applyAlignment="0" applyProtection="0"/>
    <xf numFmtId="0" fontId="40" fillId="0" borderId="117">
      <alignment horizontal="left" vertical="center"/>
    </xf>
    <xf numFmtId="0" fontId="20" fillId="9" borderId="112" applyNumberFormat="0" applyAlignment="0" applyProtection="0"/>
    <xf numFmtId="0" fontId="20" fillId="9" borderId="112" applyNumberFormat="0" applyAlignment="0" applyProtection="0"/>
    <xf numFmtId="0" fontId="20" fillId="2" borderId="112" applyNumberFormat="0" applyAlignment="0" applyProtection="0"/>
    <xf numFmtId="0" fontId="20" fillId="9" borderId="112" applyNumberFormat="0" applyAlignment="0" applyProtection="0"/>
    <xf numFmtId="0" fontId="32" fillId="0" borderId="115" applyNumberFormat="0" applyFill="0" applyAlignment="0" applyProtection="0"/>
    <xf numFmtId="0" fontId="30" fillId="2" borderId="114" applyNumberFormat="0" applyAlignment="0" applyProtection="0"/>
    <xf numFmtId="0" fontId="14" fillId="6" borderId="113" applyNumberFormat="0" applyFont="0" applyAlignment="0" applyProtection="0"/>
    <xf numFmtId="0" fontId="27" fillId="4" borderId="112" applyNumberFormat="0" applyAlignment="0" applyProtection="0"/>
    <xf numFmtId="0" fontId="20" fillId="2" borderId="112" applyNumberFormat="0" applyAlignment="0" applyProtection="0"/>
    <xf numFmtId="0" fontId="85" fillId="9" borderId="114" applyNumberFormat="0" applyAlignment="0" applyProtection="0">
      <alignment vertical="center"/>
    </xf>
    <xf numFmtId="0" fontId="77" fillId="4" borderId="112" applyNumberFormat="0" applyAlignment="0" applyProtection="0">
      <alignment vertical="center"/>
    </xf>
    <xf numFmtId="0" fontId="76" fillId="0" borderId="118" applyNumberFormat="0" applyFill="0" applyAlignment="0" applyProtection="0">
      <alignment vertical="center"/>
    </xf>
    <xf numFmtId="0" fontId="48" fillId="6" borderId="113" applyNumberFormat="0" applyFont="0" applyAlignment="0" applyProtection="0">
      <alignment vertical="center"/>
    </xf>
    <xf numFmtId="0" fontId="67" fillId="9" borderId="112" applyNumberFormat="0" applyAlignment="0" applyProtection="0">
      <alignment vertical="center"/>
    </xf>
    <xf numFmtId="0" fontId="32" fillId="0" borderId="118" applyNumberFormat="0" applyFill="0" applyAlignment="0" applyProtection="0"/>
    <xf numFmtId="0" fontId="32" fillId="0" borderId="118" applyNumberFormat="0" applyFill="0" applyAlignment="0" applyProtection="0"/>
    <xf numFmtId="0" fontId="32" fillId="0" borderId="115" applyNumberFormat="0" applyFill="0" applyAlignment="0" applyProtection="0"/>
    <xf numFmtId="0" fontId="32" fillId="0" borderId="118" applyNumberFormat="0" applyFill="0" applyAlignment="0" applyProtection="0"/>
    <xf numFmtId="0" fontId="30" fillId="9" borderId="114" applyNumberFormat="0" applyAlignment="0" applyProtection="0"/>
    <xf numFmtId="0" fontId="30" fillId="9" borderId="114" applyNumberFormat="0" applyAlignment="0" applyProtection="0"/>
    <xf numFmtId="0" fontId="30" fillId="2" borderId="114" applyNumberFormat="0" applyAlignment="0" applyProtection="0"/>
    <xf numFmtId="0" fontId="30" fillId="9" borderId="114" applyNumberFormat="0" applyAlignment="0" applyProtection="0"/>
    <xf numFmtId="0" fontId="14" fillId="6" borderId="113" applyNumberFormat="0" applyFont="0" applyAlignment="0" applyProtection="0"/>
    <xf numFmtId="0" fontId="14" fillId="6" borderId="113" applyNumberFormat="0" applyFont="0" applyAlignment="0" applyProtection="0"/>
    <xf numFmtId="0" fontId="14" fillId="6" borderId="113" applyNumberFormat="0" applyFont="0" applyAlignment="0" applyProtection="0"/>
    <xf numFmtId="0" fontId="27" fillId="4" borderId="112" applyNumberFormat="0" applyAlignment="0" applyProtection="0"/>
    <xf numFmtId="0" fontId="27" fillId="4" borderId="112" applyNumberFormat="0" applyAlignment="0" applyProtection="0"/>
    <xf numFmtId="0" fontId="27" fillId="4" borderId="112" applyNumberFormat="0" applyAlignment="0" applyProtection="0"/>
    <xf numFmtId="0" fontId="27" fillId="4" borderId="112" applyNumberFormat="0" applyAlignment="0" applyProtection="0"/>
    <xf numFmtId="10" fontId="54" fillId="19" borderId="116" applyNumberFormat="0" applyBorder="0" applyAlignment="0" applyProtection="0"/>
    <xf numFmtId="0" fontId="40" fillId="0" borderId="117">
      <alignment horizontal="left" vertical="center"/>
    </xf>
    <xf numFmtId="0" fontId="20" fillId="9" borderId="112" applyNumberFormat="0" applyAlignment="0" applyProtection="0"/>
    <xf numFmtId="0" fontId="20" fillId="9" borderId="112" applyNumberFormat="0" applyAlignment="0" applyProtection="0"/>
    <xf numFmtId="0" fontId="20" fillId="2" borderId="112" applyNumberFormat="0" applyAlignment="0" applyProtection="0"/>
    <xf numFmtId="0" fontId="20" fillId="9" borderId="112" applyNumberFormat="0" applyAlignment="0" applyProtection="0"/>
    <xf numFmtId="10" fontId="54" fillId="19" borderId="110" applyNumberFormat="0" applyBorder="0" applyAlignment="0" applyProtection="0"/>
    <xf numFmtId="0" fontId="9" fillId="0" borderId="0"/>
    <xf numFmtId="0" fontId="9" fillId="0" borderId="0"/>
    <xf numFmtId="0" fontId="32" fillId="0" borderId="111" applyNumberFormat="0" applyFill="0" applyAlignment="0" applyProtection="0"/>
    <xf numFmtId="0" fontId="32" fillId="0" borderId="111" applyNumberFormat="0" applyFill="0" applyAlignment="0" applyProtection="0"/>
    <xf numFmtId="0" fontId="32" fillId="0" borderId="111" applyNumberFormat="0" applyFill="0" applyAlignment="0" applyProtection="0"/>
    <xf numFmtId="0" fontId="32" fillId="0" borderId="115" applyNumberFormat="0" applyFill="0" applyAlignment="0" applyProtection="0"/>
    <xf numFmtId="0" fontId="30" fillId="2" borderId="114" applyNumberFormat="0" applyAlignment="0" applyProtection="0"/>
    <xf numFmtId="0" fontId="14" fillId="6" borderId="113" applyNumberFormat="0" applyFont="0" applyAlignment="0" applyProtection="0"/>
    <xf numFmtId="0" fontId="27" fillId="4" borderId="112" applyNumberFormat="0" applyAlignment="0" applyProtection="0"/>
    <xf numFmtId="0" fontId="76" fillId="0" borderId="111" applyNumberFormat="0" applyFill="0" applyAlignment="0" applyProtection="0">
      <alignment vertical="center"/>
    </xf>
    <xf numFmtId="0" fontId="20" fillId="2" borderId="112" applyNumberFormat="0" applyAlignment="0" applyProtection="0"/>
    <xf numFmtId="0" fontId="9" fillId="0" borderId="0"/>
    <xf numFmtId="0" fontId="14" fillId="6" borderId="7" applyNumberFormat="0" applyFont="0" applyAlignment="0" applyProtection="0"/>
    <xf numFmtId="10" fontId="54" fillId="19" borderId="110" applyNumberFormat="0" applyBorder="0" applyAlignment="0" applyProtection="0"/>
    <xf numFmtId="0" fontId="9" fillId="0" borderId="0"/>
    <xf numFmtId="0" fontId="9" fillId="0" borderId="0"/>
    <xf numFmtId="0" fontId="14" fillId="6" borderId="7" applyNumberFormat="0" applyFont="0" applyAlignment="0" applyProtection="0"/>
    <xf numFmtId="0" fontId="14" fillId="6" borderId="7" applyNumberFormat="0" applyFont="0" applyAlignment="0" applyProtection="0"/>
    <xf numFmtId="0" fontId="14" fillId="6" borderId="7" applyNumberFormat="0" applyFont="0" applyAlignment="0" applyProtection="0"/>
    <xf numFmtId="0" fontId="48" fillId="6" borderId="7" applyNumberFormat="0" applyFont="0" applyAlignment="0" applyProtection="0">
      <alignment vertical="center"/>
    </xf>
    <xf numFmtId="0" fontId="27" fillId="4" borderId="112" applyNumberFormat="0" applyAlignment="0" applyProtection="0"/>
    <xf numFmtId="0" fontId="27" fillId="4" borderId="112" applyNumberFormat="0" applyAlignment="0" applyProtection="0"/>
    <xf numFmtId="0" fontId="27" fillId="4" borderId="112" applyNumberFormat="0" applyAlignment="0" applyProtection="0"/>
    <xf numFmtId="0" fontId="14" fillId="6" borderId="113" applyNumberFormat="0" applyFont="0" applyAlignment="0" applyProtection="0"/>
    <xf numFmtId="0" fontId="14" fillId="6" borderId="113" applyNumberFormat="0" applyFont="0" applyAlignment="0" applyProtection="0"/>
    <xf numFmtId="0" fontId="14" fillId="6" borderId="113" applyNumberFormat="0" applyFont="0" applyAlignment="0" applyProtection="0"/>
    <xf numFmtId="0" fontId="30" fillId="9" borderId="114" applyNumberFormat="0" applyAlignment="0" applyProtection="0"/>
    <xf numFmtId="0" fontId="30" fillId="2" borderId="114" applyNumberFormat="0" applyAlignment="0" applyProtection="0"/>
    <xf numFmtId="0" fontId="30" fillId="9" borderId="114" applyNumberFormat="0" applyAlignment="0" applyProtection="0"/>
    <xf numFmtId="0" fontId="30" fillId="9" borderId="114" applyNumberFormat="0" applyAlignment="0" applyProtection="0"/>
    <xf numFmtId="0" fontId="32" fillId="0" borderId="115" applyNumberFormat="0" applyFill="0" applyAlignment="0" applyProtection="0"/>
    <xf numFmtId="0" fontId="67" fillId="9" borderId="112" applyNumberFormat="0" applyAlignment="0" applyProtection="0">
      <alignment vertical="center"/>
    </xf>
    <xf numFmtId="0" fontId="48" fillId="6" borderId="113" applyNumberFormat="0" applyFont="0" applyAlignment="0" applyProtection="0">
      <alignment vertical="center"/>
    </xf>
    <xf numFmtId="0" fontId="77" fillId="4" borderId="112" applyNumberFormat="0" applyAlignment="0" applyProtection="0">
      <alignment vertical="center"/>
    </xf>
    <xf numFmtId="0" fontId="85" fillId="9" borderId="114" applyNumberFormat="0" applyAlignment="0" applyProtection="0">
      <alignment vertical="center"/>
    </xf>
    <xf numFmtId="0" fontId="8" fillId="0" borderId="0"/>
    <xf numFmtId="10" fontId="54" fillId="19" borderId="119" applyNumberFormat="0" applyBorder="0" applyAlignment="0" applyProtection="0"/>
    <xf numFmtId="0" fontId="8" fillId="0" borderId="0"/>
    <xf numFmtId="0" fontId="8" fillId="0" borderId="0"/>
    <xf numFmtId="0" fontId="8" fillId="0" borderId="0"/>
    <xf numFmtId="10" fontId="54" fillId="19" borderId="119" applyNumberFormat="0" applyBorder="0" applyAlignment="0" applyProtection="0"/>
    <xf numFmtId="0" fontId="8" fillId="0" borderId="0"/>
    <xf numFmtId="0" fontId="8" fillId="0" borderId="0"/>
    <xf numFmtId="165" fontId="12" fillId="0" borderId="0" applyFont="0" applyFill="0" applyBorder="0" applyAlignment="0" applyProtection="0">
      <alignment vertical="center"/>
    </xf>
    <xf numFmtId="0" fontId="103" fillId="31" borderId="0" applyNumberFormat="0" applyBorder="0" applyAlignment="0" applyProtection="0"/>
    <xf numFmtId="0" fontId="12" fillId="0" borderId="0">
      <alignment vertical="center"/>
    </xf>
    <xf numFmtId="43" fontId="7" fillId="0" borderId="0" applyFont="0" applyFill="0" applyBorder="0" applyAlignment="0" applyProtection="0"/>
    <xf numFmtId="0" fontId="20" fillId="2" borderId="129" applyNumberFormat="0" applyAlignment="0" applyProtection="0"/>
    <xf numFmtId="0" fontId="27" fillId="4" borderId="129" applyNumberFormat="0" applyAlignment="0" applyProtection="0"/>
    <xf numFmtId="0" fontId="6" fillId="0" borderId="0"/>
    <xf numFmtId="0" fontId="14" fillId="6" borderId="130" applyNumberFormat="0" applyFont="0" applyAlignment="0" applyProtection="0"/>
    <xf numFmtId="0" fontId="30" fillId="2" borderId="131" applyNumberFormat="0" applyAlignment="0" applyProtection="0"/>
    <xf numFmtId="0" fontId="32" fillId="0" borderId="132" applyNumberFormat="0" applyFill="0" applyAlignment="0" applyProtection="0"/>
    <xf numFmtId="0" fontId="48" fillId="6" borderId="142" applyNumberFormat="0" applyFont="0" applyAlignment="0" applyProtection="0">
      <alignment vertical="center"/>
    </xf>
    <xf numFmtId="0" fontId="67" fillId="9" borderId="141" applyNumberFormat="0" applyAlignment="0" applyProtection="0">
      <alignment vertical="center"/>
    </xf>
    <xf numFmtId="0" fontId="32" fillId="0" borderId="146" applyNumberFormat="0" applyFill="0" applyAlignment="0" applyProtection="0"/>
    <xf numFmtId="0" fontId="32" fillId="0" borderId="146" applyNumberFormat="0" applyFill="0" applyAlignment="0" applyProtection="0"/>
    <xf numFmtId="0" fontId="32" fillId="0" borderId="144" applyNumberFormat="0" applyFill="0" applyAlignment="0" applyProtection="0"/>
    <xf numFmtId="0" fontId="32" fillId="0" borderId="146" applyNumberFormat="0" applyFill="0" applyAlignment="0" applyProtection="0"/>
    <xf numFmtId="0" fontId="30" fillId="9" borderId="143" applyNumberFormat="0" applyAlignment="0" applyProtection="0"/>
    <xf numFmtId="0" fontId="30" fillId="9" borderId="143" applyNumberFormat="0" applyAlignment="0" applyProtection="0"/>
    <xf numFmtId="0" fontId="30" fillId="2" borderId="143" applyNumberFormat="0" applyAlignment="0" applyProtection="0"/>
    <xf numFmtId="0" fontId="30" fillId="9" borderId="143" applyNumberFormat="0" applyAlignment="0" applyProtection="0"/>
    <xf numFmtId="0" fontId="14" fillId="6" borderId="142" applyNumberFormat="0" applyFont="0" applyAlignment="0" applyProtection="0"/>
    <xf numFmtId="0" fontId="14" fillId="6" borderId="142" applyNumberFormat="0" applyFont="0" applyAlignment="0" applyProtection="0"/>
    <xf numFmtId="0" fontId="14" fillId="6" borderId="142" applyNumberFormat="0" applyFont="0" applyAlignment="0" applyProtection="0"/>
    <xf numFmtId="0" fontId="27" fillId="4" borderId="141" applyNumberFormat="0" applyAlignment="0" applyProtection="0"/>
    <xf numFmtId="0" fontId="27" fillId="4" borderId="141" applyNumberFormat="0" applyAlignment="0" applyProtection="0"/>
    <xf numFmtId="0" fontId="27" fillId="4" borderId="141" applyNumberFormat="0" applyAlignment="0" applyProtection="0"/>
    <xf numFmtId="0" fontId="27" fillId="4" borderId="141" applyNumberFormat="0" applyAlignment="0" applyProtection="0"/>
    <xf numFmtId="0" fontId="40" fillId="0" borderId="145">
      <alignment horizontal="left" vertical="center"/>
    </xf>
    <xf numFmtId="0" fontId="20" fillId="9" borderId="141" applyNumberFormat="0" applyAlignment="0" applyProtection="0"/>
    <xf numFmtId="0" fontId="20" fillId="9" borderId="141" applyNumberFormat="0" applyAlignment="0" applyProtection="0"/>
    <xf numFmtId="0" fontId="20" fillId="2" borderId="141" applyNumberFormat="0" applyAlignment="0" applyProtection="0"/>
    <xf numFmtId="0" fontId="20" fillId="9" borderId="141" applyNumberFormat="0" applyAlignment="0" applyProtection="0"/>
    <xf numFmtId="0" fontId="20" fillId="9" borderId="129" applyNumberFormat="0" applyAlignment="0" applyProtection="0"/>
    <xf numFmtId="0" fontId="20" fillId="2" borderId="129" applyNumberFormat="0" applyAlignment="0" applyProtection="0"/>
    <xf numFmtId="0" fontId="20" fillId="9" borderId="129" applyNumberFormat="0" applyAlignment="0" applyProtection="0"/>
    <xf numFmtId="0" fontId="20" fillId="9" borderId="129" applyNumberFormat="0" applyAlignment="0" applyProtection="0"/>
    <xf numFmtId="43" fontId="7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7" fillId="0" borderId="0" applyFont="0" applyFill="0" applyBorder="0" applyAlignment="0" applyProtection="0"/>
    <xf numFmtId="0" fontId="40" fillId="0" borderId="120">
      <alignment horizontal="left" vertical="center"/>
    </xf>
    <xf numFmtId="10" fontId="54" fillId="19" borderId="124" applyNumberFormat="0" applyBorder="0" applyAlignment="0" applyProtection="0"/>
    <xf numFmtId="0" fontId="27" fillId="4" borderId="129" applyNumberFormat="0" applyAlignment="0" applyProtection="0"/>
    <xf numFmtId="0" fontId="27" fillId="4" borderId="129" applyNumberFormat="0" applyAlignment="0" applyProtection="0"/>
    <xf numFmtId="0" fontId="27" fillId="4" borderId="129" applyNumberFormat="0" applyAlignment="0" applyProtection="0"/>
    <xf numFmtId="0" fontId="27" fillId="4" borderId="129" applyNumberFormat="0" applyAlignment="0" applyProtection="0"/>
    <xf numFmtId="0" fontId="6" fillId="0" borderId="0"/>
    <xf numFmtId="0" fontId="6" fillId="0" borderId="0"/>
    <xf numFmtId="0" fontId="14" fillId="6" borderId="130" applyNumberFormat="0" applyFont="0" applyAlignment="0" applyProtection="0"/>
    <xf numFmtId="0" fontId="14" fillId="6" borderId="130" applyNumberFormat="0" applyFont="0" applyAlignment="0" applyProtection="0"/>
    <xf numFmtId="0" fontId="14" fillId="6" borderId="130" applyNumberFormat="0" applyFont="0" applyAlignment="0" applyProtection="0"/>
    <xf numFmtId="0" fontId="30" fillId="9" borderId="131" applyNumberFormat="0" applyAlignment="0" applyProtection="0"/>
    <xf numFmtId="0" fontId="30" fillId="2" borderId="131" applyNumberFormat="0" applyAlignment="0" applyProtection="0"/>
    <xf numFmtId="0" fontId="30" fillId="9" borderId="131" applyNumberFormat="0" applyAlignment="0" applyProtection="0"/>
    <xf numFmtId="0" fontId="30" fillId="9" borderId="131" applyNumberFormat="0" applyAlignment="0" applyProtection="0"/>
    <xf numFmtId="0" fontId="32" fillId="0" borderId="133" applyNumberFormat="0" applyFill="0" applyAlignment="0" applyProtection="0"/>
    <xf numFmtId="0" fontId="32" fillId="0" borderId="132" applyNumberFormat="0" applyFill="0" applyAlignment="0" applyProtection="0"/>
    <xf numFmtId="0" fontId="32" fillId="0" borderId="133" applyNumberFormat="0" applyFill="0" applyAlignment="0" applyProtection="0"/>
    <xf numFmtId="0" fontId="32" fillId="0" borderId="133" applyNumberFormat="0" applyFill="0" applyAlignment="0" applyProtection="0"/>
    <xf numFmtId="0" fontId="67" fillId="9" borderId="129" applyNumberFormat="0" applyAlignment="0" applyProtection="0">
      <alignment vertical="center"/>
    </xf>
    <xf numFmtId="0" fontId="48" fillId="6" borderId="130" applyNumberFormat="0" applyFont="0" applyAlignment="0" applyProtection="0">
      <alignment vertical="center"/>
    </xf>
    <xf numFmtId="0" fontId="32" fillId="0" borderId="144" applyNumberFormat="0" applyFill="0" applyAlignment="0" applyProtection="0"/>
    <xf numFmtId="0" fontId="30" fillId="2" borderId="143" applyNumberFormat="0" applyAlignment="0" applyProtection="0"/>
    <xf numFmtId="0" fontId="14" fillId="6" borderId="142" applyNumberFormat="0" applyFont="0" applyAlignment="0" applyProtection="0"/>
    <xf numFmtId="0" fontId="27" fillId="4" borderId="141" applyNumberFormat="0" applyAlignment="0" applyProtection="0"/>
    <xf numFmtId="0" fontId="20" fillId="2" borderId="141" applyNumberFormat="0" applyAlignment="0" applyProtection="0"/>
    <xf numFmtId="0" fontId="76" fillId="0" borderId="133" applyNumberFormat="0" applyFill="0" applyAlignment="0" applyProtection="0">
      <alignment vertical="center"/>
    </xf>
    <xf numFmtId="0" fontId="77" fillId="4" borderId="129" applyNumberFormat="0" applyAlignment="0" applyProtection="0">
      <alignment vertical="center"/>
    </xf>
    <xf numFmtId="0" fontId="85" fillId="9" borderId="131" applyNumberFormat="0" applyAlignment="0" applyProtection="0">
      <alignment vertical="center"/>
    </xf>
    <xf numFmtId="0" fontId="20" fillId="2" borderId="134" applyNumberFormat="0" applyAlignment="0" applyProtection="0"/>
    <xf numFmtId="0" fontId="27" fillId="4" borderId="134" applyNumberFormat="0" applyAlignment="0" applyProtection="0"/>
    <xf numFmtId="0" fontId="6" fillId="0" borderId="0"/>
    <xf numFmtId="0" fontId="14" fillId="6" borderId="135" applyNumberFormat="0" applyFont="0" applyAlignment="0" applyProtection="0"/>
    <xf numFmtId="0" fontId="30" fillId="2" borderId="136" applyNumberFormat="0" applyAlignment="0" applyProtection="0"/>
    <xf numFmtId="0" fontId="32" fillId="0" borderId="137" applyNumberFormat="0" applyFill="0" applyAlignment="0" applyProtection="0"/>
    <xf numFmtId="0" fontId="20" fillId="9" borderId="134" applyNumberFormat="0" applyAlignment="0" applyProtection="0"/>
    <xf numFmtId="0" fontId="20" fillId="2" borderId="134" applyNumberFormat="0" applyAlignment="0" applyProtection="0"/>
    <xf numFmtId="0" fontId="20" fillId="9" borderId="134" applyNumberFormat="0" applyAlignment="0" applyProtection="0"/>
    <xf numFmtId="0" fontId="20" fillId="9" borderId="134" applyNumberFormat="0" applyAlignment="0" applyProtection="0"/>
    <xf numFmtId="0" fontId="40" fillId="0" borderId="139">
      <alignment horizontal="left" vertical="center"/>
    </xf>
    <xf numFmtId="10" fontId="54" fillId="19" borderId="138" applyNumberFormat="0" applyBorder="0" applyAlignment="0" applyProtection="0"/>
    <xf numFmtId="0" fontId="27" fillId="4" borderId="134" applyNumberFormat="0" applyAlignment="0" applyProtection="0"/>
    <xf numFmtId="0" fontId="27" fillId="4" borderId="134" applyNumberFormat="0" applyAlignment="0" applyProtection="0"/>
    <xf numFmtId="0" fontId="27" fillId="4" borderId="134" applyNumberFormat="0" applyAlignment="0" applyProtection="0"/>
    <xf numFmtId="0" fontId="27" fillId="4" borderId="134" applyNumberFormat="0" applyAlignment="0" applyProtection="0"/>
    <xf numFmtId="0" fontId="6" fillId="0" borderId="0"/>
    <xf numFmtId="0" fontId="6" fillId="0" borderId="0"/>
    <xf numFmtId="0" fontId="14" fillId="6" borderId="135" applyNumberFormat="0" applyFont="0" applyAlignment="0" applyProtection="0"/>
    <xf numFmtId="0" fontId="14" fillId="6" borderId="135" applyNumberFormat="0" applyFont="0" applyAlignment="0" applyProtection="0"/>
    <xf numFmtId="0" fontId="14" fillId="6" borderId="135" applyNumberFormat="0" applyFont="0" applyAlignment="0" applyProtection="0"/>
    <xf numFmtId="0" fontId="30" fillId="9" borderId="136" applyNumberFormat="0" applyAlignment="0" applyProtection="0"/>
    <xf numFmtId="0" fontId="30" fillId="2" borderId="136" applyNumberFormat="0" applyAlignment="0" applyProtection="0"/>
    <xf numFmtId="0" fontId="30" fillId="9" borderId="136" applyNumberFormat="0" applyAlignment="0" applyProtection="0"/>
    <xf numFmtId="0" fontId="30" fillId="9" borderId="136" applyNumberFormat="0" applyAlignment="0" applyProtection="0"/>
    <xf numFmtId="0" fontId="32" fillId="0" borderId="137" applyNumberFormat="0" applyFill="0" applyAlignment="0" applyProtection="0"/>
    <xf numFmtId="0" fontId="67" fillId="9" borderId="134" applyNumberFormat="0" applyAlignment="0" applyProtection="0">
      <alignment vertical="center"/>
    </xf>
    <xf numFmtId="0" fontId="48" fillId="6" borderId="135" applyNumberFormat="0" applyFont="0" applyAlignment="0" applyProtection="0">
      <alignment vertical="center"/>
    </xf>
    <xf numFmtId="0" fontId="77" fillId="4" borderId="134" applyNumberFormat="0" applyAlignment="0" applyProtection="0">
      <alignment vertical="center"/>
    </xf>
    <xf numFmtId="0" fontId="85" fillId="9" borderId="136" applyNumberFormat="0" applyAlignment="0" applyProtection="0">
      <alignment vertical="center"/>
    </xf>
    <xf numFmtId="0" fontId="6" fillId="0" borderId="0"/>
    <xf numFmtId="0" fontId="27" fillId="4" borderId="134" applyNumberFormat="0" applyAlignment="0" applyProtection="0"/>
    <xf numFmtId="10" fontId="54" fillId="19" borderId="138" applyNumberFormat="0" applyBorder="0" applyAlignment="0" applyProtection="0"/>
    <xf numFmtId="0" fontId="40" fillId="0" borderId="139">
      <alignment horizontal="left" vertical="center"/>
    </xf>
    <xf numFmtId="0" fontId="20" fillId="9" borderId="134" applyNumberFormat="0" applyAlignment="0" applyProtection="0"/>
    <xf numFmtId="0" fontId="20" fillId="9" borderId="134" applyNumberFormat="0" applyAlignment="0" applyProtection="0"/>
    <xf numFmtId="0" fontId="20" fillId="2" borderId="134" applyNumberFormat="0" applyAlignment="0" applyProtection="0"/>
    <xf numFmtId="0" fontId="20" fillId="9" borderId="134" applyNumberFormat="0" applyAlignment="0" applyProtection="0"/>
    <xf numFmtId="0" fontId="32" fillId="0" borderId="137" applyNumberFormat="0" applyFill="0" applyAlignment="0" applyProtection="0"/>
    <xf numFmtId="0" fontId="30" fillId="2" borderId="136" applyNumberFormat="0" applyAlignment="0" applyProtection="0"/>
    <xf numFmtId="0" fontId="14" fillId="6" borderId="135" applyNumberFormat="0" applyFont="0" applyAlignment="0" applyProtection="0"/>
    <xf numFmtId="0" fontId="27" fillId="4" borderId="134" applyNumberFormat="0" applyAlignment="0" applyProtection="0"/>
    <xf numFmtId="0" fontId="20" fillId="2" borderId="134" applyNumberFormat="0" applyAlignment="0" applyProtection="0"/>
    <xf numFmtId="0" fontId="85" fillId="9" borderId="136" applyNumberFormat="0" applyAlignment="0" applyProtection="0">
      <alignment vertical="center"/>
    </xf>
    <xf numFmtId="0" fontId="77" fillId="4" borderId="134" applyNumberFormat="0" applyAlignment="0" applyProtection="0">
      <alignment vertical="center"/>
    </xf>
    <xf numFmtId="0" fontId="76" fillId="0" borderId="140" applyNumberFormat="0" applyFill="0" applyAlignment="0" applyProtection="0">
      <alignment vertical="center"/>
    </xf>
    <xf numFmtId="0" fontId="48" fillId="6" borderId="135" applyNumberFormat="0" applyFont="0" applyAlignment="0" applyProtection="0">
      <alignment vertical="center"/>
    </xf>
    <xf numFmtId="0" fontId="67" fillId="9" borderId="134" applyNumberFormat="0" applyAlignment="0" applyProtection="0">
      <alignment vertical="center"/>
    </xf>
    <xf numFmtId="0" fontId="32" fillId="0" borderId="140" applyNumberFormat="0" applyFill="0" applyAlignment="0" applyProtection="0"/>
    <xf numFmtId="0" fontId="32" fillId="0" borderId="140" applyNumberFormat="0" applyFill="0" applyAlignment="0" applyProtection="0"/>
    <xf numFmtId="0" fontId="32" fillId="0" borderId="137" applyNumberFormat="0" applyFill="0" applyAlignment="0" applyProtection="0"/>
    <xf numFmtId="0" fontId="32" fillId="0" borderId="140" applyNumberFormat="0" applyFill="0" applyAlignment="0" applyProtection="0"/>
    <xf numFmtId="0" fontId="30" fillId="9" borderId="136" applyNumberFormat="0" applyAlignment="0" applyProtection="0"/>
    <xf numFmtId="0" fontId="30" fillId="9" borderId="136" applyNumberFormat="0" applyAlignment="0" applyProtection="0"/>
    <xf numFmtId="0" fontId="30" fillId="2" borderId="136" applyNumberFormat="0" applyAlignment="0" applyProtection="0"/>
    <xf numFmtId="0" fontId="30" fillId="9" borderId="136" applyNumberFormat="0" applyAlignment="0" applyProtection="0"/>
    <xf numFmtId="0" fontId="14" fillId="6" borderId="135" applyNumberFormat="0" applyFont="0" applyAlignment="0" applyProtection="0"/>
    <xf numFmtId="0" fontId="14" fillId="6" borderId="135" applyNumberFormat="0" applyFont="0" applyAlignment="0" applyProtection="0"/>
    <xf numFmtId="0" fontId="14" fillId="6" borderId="135" applyNumberFormat="0" applyFont="0" applyAlignment="0" applyProtection="0"/>
    <xf numFmtId="0" fontId="27" fillId="4" borderId="134" applyNumberFormat="0" applyAlignment="0" applyProtection="0"/>
    <xf numFmtId="0" fontId="27" fillId="4" borderId="134" applyNumberFormat="0" applyAlignment="0" applyProtection="0"/>
    <xf numFmtId="0" fontId="27" fillId="4" borderId="134" applyNumberFormat="0" applyAlignment="0" applyProtection="0"/>
    <xf numFmtId="0" fontId="27" fillId="4" borderId="134" applyNumberFormat="0" applyAlignment="0" applyProtection="0"/>
    <xf numFmtId="10" fontId="54" fillId="19" borderId="138" applyNumberFormat="0" applyBorder="0" applyAlignment="0" applyProtection="0"/>
    <xf numFmtId="0" fontId="40" fillId="0" borderId="139">
      <alignment horizontal="left" vertical="center"/>
    </xf>
    <xf numFmtId="0" fontId="20" fillId="9" borderId="134" applyNumberFormat="0" applyAlignment="0" applyProtection="0"/>
    <xf numFmtId="0" fontId="20" fillId="9" borderId="134" applyNumberFormat="0" applyAlignment="0" applyProtection="0"/>
    <xf numFmtId="0" fontId="20" fillId="2" borderId="134" applyNumberFormat="0" applyAlignment="0" applyProtection="0"/>
    <xf numFmtId="0" fontId="20" fillId="9" borderId="134" applyNumberFormat="0" applyAlignment="0" applyProtection="0"/>
    <xf numFmtId="10" fontId="54" fillId="19" borderId="138" applyNumberFormat="0" applyBorder="0" applyAlignment="0" applyProtection="0"/>
    <xf numFmtId="0" fontId="6" fillId="0" borderId="0"/>
    <xf numFmtId="0" fontId="6" fillId="0" borderId="0"/>
    <xf numFmtId="0" fontId="32" fillId="0" borderId="140" applyNumberFormat="0" applyFill="0" applyAlignment="0" applyProtection="0"/>
    <xf numFmtId="0" fontId="32" fillId="0" borderId="140" applyNumberFormat="0" applyFill="0" applyAlignment="0" applyProtection="0"/>
    <xf numFmtId="0" fontId="32" fillId="0" borderId="140" applyNumberFormat="0" applyFill="0" applyAlignment="0" applyProtection="0"/>
    <xf numFmtId="0" fontId="32" fillId="0" borderId="137" applyNumberFormat="0" applyFill="0" applyAlignment="0" applyProtection="0"/>
    <xf numFmtId="0" fontId="30" fillId="2" borderId="136" applyNumberFormat="0" applyAlignment="0" applyProtection="0"/>
    <xf numFmtId="0" fontId="14" fillId="6" borderId="135" applyNumberFormat="0" applyFont="0" applyAlignment="0" applyProtection="0"/>
    <xf numFmtId="0" fontId="27" fillId="4" borderId="134" applyNumberFormat="0" applyAlignment="0" applyProtection="0"/>
    <xf numFmtId="0" fontId="76" fillId="0" borderId="140" applyNumberFormat="0" applyFill="0" applyAlignment="0" applyProtection="0">
      <alignment vertical="center"/>
    </xf>
    <xf numFmtId="0" fontId="20" fillId="2" borderId="134" applyNumberFormat="0" applyAlignment="0" applyProtection="0"/>
    <xf numFmtId="0" fontId="6" fillId="0" borderId="0"/>
    <xf numFmtId="0" fontId="14" fillId="6" borderId="130" applyNumberFormat="0" applyFont="0" applyAlignment="0" applyProtection="0"/>
    <xf numFmtId="10" fontId="54" fillId="19" borderId="138" applyNumberFormat="0" applyBorder="0" applyAlignment="0" applyProtection="0"/>
    <xf numFmtId="0" fontId="6" fillId="0" borderId="0"/>
    <xf numFmtId="0" fontId="6" fillId="0" borderId="0"/>
    <xf numFmtId="0" fontId="14" fillId="6" borderId="130" applyNumberFormat="0" applyFont="0" applyAlignment="0" applyProtection="0"/>
    <xf numFmtId="0" fontId="14" fillId="6" borderId="130" applyNumberFormat="0" applyFont="0" applyAlignment="0" applyProtection="0"/>
    <xf numFmtId="0" fontId="14" fillId="6" borderId="130" applyNumberFormat="0" applyFont="0" applyAlignment="0" applyProtection="0"/>
    <xf numFmtId="0" fontId="48" fillId="6" borderId="130" applyNumberFormat="0" applyFont="0" applyAlignment="0" applyProtection="0">
      <alignment vertical="center"/>
    </xf>
    <xf numFmtId="0" fontId="27" fillId="4" borderId="134" applyNumberFormat="0" applyAlignment="0" applyProtection="0"/>
    <xf numFmtId="0" fontId="27" fillId="4" borderId="134" applyNumberFormat="0" applyAlignment="0" applyProtection="0"/>
    <xf numFmtId="0" fontId="27" fillId="4" borderId="134" applyNumberFormat="0" applyAlignment="0" applyProtection="0"/>
    <xf numFmtId="0" fontId="14" fillId="6" borderId="135" applyNumberFormat="0" applyFont="0" applyAlignment="0" applyProtection="0"/>
    <xf numFmtId="0" fontId="14" fillId="6" borderId="135" applyNumberFormat="0" applyFont="0" applyAlignment="0" applyProtection="0"/>
    <xf numFmtId="0" fontId="14" fillId="6" borderId="135" applyNumberFormat="0" applyFont="0" applyAlignment="0" applyProtection="0"/>
    <xf numFmtId="0" fontId="30" fillId="9" borderId="136" applyNumberFormat="0" applyAlignment="0" applyProtection="0"/>
    <xf numFmtId="0" fontId="30" fillId="2" borderId="136" applyNumberFormat="0" applyAlignment="0" applyProtection="0"/>
    <xf numFmtId="0" fontId="30" fillId="9" borderId="136" applyNumberFormat="0" applyAlignment="0" applyProtection="0"/>
    <xf numFmtId="0" fontId="30" fillId="9" borderId="136" applyNumberFormat="0" applyAlignment="0" applyProtection="0"/>
    <xf numFmtId="0" fontId="32" fillId="0" borderId="137" applyNumberFormat="0" applyFill="0" applyAlignment="0" applyProtection="0"/>
    <xf numFmtId="0" fontId="67" fillId="9" borderId="134" applyNumberFormat="0" applyAlignment="0" applyProtection="0">
      <alignment vertical="center"/>
    </xf>
    <xf numFmtId="0" fontId="48" fillId="6" borderId="135" applyNumberFormat="0" applyFont="0" applyAlignment="0" applyProtection="0">
      <alignment vertical="center"/>
    </xf>
    <xf numFmtId="0" fontId="77" fillId="4" borderId="134" applyNumberFormat="0" applyAlignment="0" applyProtection="0">
      <alignment vertical="center"/>
    </xf>
    <xf numFmtId="0" fontId="85" fillId="9" borderId="136" applyNumberFormat="0" applyAlignment="0" applyProtection="0">
      <alignment vertical="center"/>
    </xf>
    <xf numFmtId="0" fontId="6" fillId="0" borderId="0"/>
    <xf numFmtId="10" fontId="54" fillId="19" borderId="138" applyNumberFormat="0" applyBorder="0" applyAlignment="0" applyProtection="0"/>
    <xf numFmtId="0" fontId="6" fillId="0" borderId="0"/>
    <xf numFmtId="0" fontId="6" fillId="0" borderId="0"/>
    <xf numFmtId="0" fontId="6" fillId="0" borderId="0"/>
    <xf numFmtId="10" fontId="54" fillId="19" borderId="138" applyNumberFormat="0" applyBorder="0" applyAlignment="0" applyProtection="0"/>
    <xf numFmtId="0" fontId="6" fillId="0" borderId="0"/>
    <xf numFmtId="0" fontId="6" fillId="0" borderId="0"/>
    <xf numFmtId="0" fontId="76" fillId="0" borderId="146" applyNumberFormat="0" applyFill="0" applyAlignment="0" applyProtection="0">
      <alignment vertical="center"/>
    </xf>
    <xf numFmtId="0" fontId="77" fillId="4" borderId="141" applyNumberFormat="0" applyAlignment="0" applyProtection="0">
      <alignment vertical="center"/>
    </xf>
    <xf numFmtId="0" fontId="85" fillId="9" borderId="143" applyNumberFormat="0" applyAlignment="0" applyProtection="0">
      <alignment vertical="center"/>
    </xf>
    <xf numFmtId="0" fontId="20" fillId="2" borderId="147" applyNumberFormat="0" applyAlignment="0" applyProtection="0"/>
    <xf numFmtId="0" fontId="27" fillId="4" borderId="147" applyNumberFormat="0" applyAlignment="0" applyProtection="0"/>
    <xf numFmtId="0" fontId="14" fillId="6" borderId="148" applyNumberFormat="0" applyFont="0" applyAlignment="0" applyProtection="0"/>
    <xf numFmtId="0" fontId="30" fillId="2" borderId="149" applyNumberFormat="0" applyAlignment="0" applyProtection="0"/>
    <xf numFmtId="0" fontId="32" fillId="0" borderId="150" applyNumberFormat="0" applyFill="0" applyAlignment="0" applyProtection="0"/>
    <xf numFmtId="0" fontId="20" fillId="9" borderId="147" applyNumberFormat="0" applyAlignment="0" applyProtection="0"/>
    <xf numFmtId="0" fontId="20" fillId="2" borderId="147" applyNumberFormat="0" applyAlignment="0" applyProtection="0"/>
    <xf numFmtId="0" fontId="20" fillId="9" borderId="147" applyNumberFormat="0" applyAlignment="0" applyProtection="0"/>
    <xf numFmtId="0" fontId="20" fillId="9" borderId="147" applyNumberFormat="0" applyAlignment="0" applyProtection="0"/>
    <xf numFmtId="0" fontId="40" fillId="0" borderId="145">
      <alignment horizontal="left" vertical="center"/>
    </xf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30" fillId="9" borderId="149" applyNumberFormat="0" applyAlignment="0" applyProtection="0"/>
    <xf numFmtId="0" fontId="30" fillId="2" borderId="149" applyNumberFormat="0" applyAlignment="0" applyProtection="0"/>
    <xf numFmtId="0" fontId="30" fillId="9" borderId="149" applyNumberFormat="0" applyAlignment="0" applyProtection="0"/>
    <xf numFmtId="0" fontId="30" fillId="9" borderId="149" applyNumberFormat="0" applyAlignment="0" applyProtection="0"/>
    <xf numFmtId="0" fontId="32" fillId="0" borderId="150" applyNumberFormat="0" applyFill="0" applyAlignment="0" applyProtection="0"/>
    <xf numFmtId="0" fontId="67" fillId="9" borderId="147" applyNumberFormat="0" applyAlignment="0" applyProtection="0">
      <alignment vertical="center"/>
    </xf>
    <xf numFmtId="0" fontId="48" fillId="6" borderId="148" applyNumberFormat="0" applyFont="0" applyAlignment="0" applyProtection="0">
      <alignment vertical="center"/>
    </xf>
    <xf numFmtId="0" fontId="77" fillId="4" borderId="147" applyNumberFormat="0" applyAlignment="0" applyProtection="0">
      <alignment vertical="center"/>
    </xf>
    <xf numFmtId="0" fontId="85" fillId="9" borderId="149" applyNumberFormat="0" applyAlignment="0" applyProtection="0">
      <alignment vertical="center"/>
    </xf>
    <xf numFmtId="0" fontId="27" fillId="4" borderId="147" applyNumberFormat="0" applyAlignment="0" applyProtection="0"/>
    <xf numFmtId="0" fontId="40" fillId="0" borderId="145">
      <alignment horizontal="left" vertical="center"/>
    </xf>
    <xf numFmtId="0" fontId="20" fillId="9" borderId="147" applyNumberFormat="0" applyAlignment="0" applyProtection="0"/>
    <xf numFmtId="0" fontId="20" fillId="9" borderId="147" applyNumberFormat="0" applyAlignment="0" applyProtection="0"/>
    <xf numFmtId="0" fontId="20" fillId="2" borderId="147" applyNumberFormat="0" applyAlignment="0" applyProtection="0"/>
    <xf numFmtId="0" fontId="20" fillId="9" borderId="147" applyNumberFormat="0" applyAlignment="0" applyProtection="0"/>
    <xf numFmtId="0" fontId="32" fillId="0" borderId="150" applyNumberFormat="0" applyFill="0" applyAlignment="0" applyProtection="0"/>
    <xf numFmtId="0" fontId="30" fillId="2" borderId="149" applyNumberFormat="0" applyAlignment="0" applyProtection="0"/>
    <xf numFmtId="0" fontId="14" fillId="6" borderId="148" applyNumberFormat="0" applyFont="0" applyAlignment="0" applyProtection="0"/>
    <xf numFmtId="0" fontId="27" fillId="4" borderId="147" applyNumberFormat="0" applyAlignment="0" applyProtection="0"/>
    <xf numFmtId="0" fontId="20" fillId="2" borderId="147" applyNumberFormat="0" applyAlignment="0" applyProtection="0"/>
    <xf numFmtId="0" fontId="85" fillId="9" borderId="149" applyNumberFormat="0" applyAlignment="0" applyProtection="0">
      <alignment vertical="center"/>
    </xf>
    <xf numFmtId="0" fontId="77" fillId="4" borderId="147" applyNumberFormat="0" applyAlignment="0" applyProtection="0">
      <alignment vertical="center"/>
    </xf>
    <xf numFmtId="0" fontId="76" fillId="0" borderId="151" applyNumberFormat="0" applyFill="0" applyAlignment="0" applyProtection="0">
      <alignment vertical="center"/>
    </xf>
    <xf numFmtId="0" fontId="48" fillId="6" borderId="148" applyNumberFormat="0" applyFont="0" applyAlignment="0" applyProtection="0">
      <alignment vertical="center"/>
    </xf>
    <xf numFmtId="0" fontId="67" fillId="9" borderId="147" applyNumberFormat="0" applyAlignment="0" applyProtection="0">
      <alignment vertical="center"/>
    </xf>
    <xf numFmtId="0" fontId="32" fillId="0" borderId="151" applyNumberFormat="0" applyFill="0" applyAlignment="0" applyProtection="0"/>
    <xf numFmtId="0" fontId="32" fillId="0" borderId="151" applyNumberFormat="0" applyFill="0" applyAlignment="0" applyProtection="0"/>
    <xf numFmtId="0" fontId="32" fillId="0" borderId="150" applyNumberFormat="0" applyFill="0" applyAlignment="0" applyProtection="0"/>
    <xf numFmtId="0" fontId="32" fillId="0" borderId="151" applyNumberFormat="0" applyFill="0" applyAlignment="0" applyProtection="0"/>
    <xf numFmtId="0" fontId="30" fillId="9" borderId="149" applyNumberFormat="0" applyAlignment="0" applyProtection="0"/>
    <xf numFmtId="0" fontId="30" fillId="9" borderId="149" applyNumberFormat="0" applyAlignment="0" applyProtection="0"/>
    <xf numFmtId="0" fontId="30" fillId="2" borderId="149" applyNumberFormat="0" applyAlignment="0" applyProtection="0"/>
    <xf numFmtId="0" fontId="30" fillId="9" borderId="149" applyNumberForma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40" fillId="0" borderId="145">
      <alignment horizontal="left" vertical="center"/>
    </xf>
    <xf numFmtId="0" fontId="20" fillId="9" borderId="147" applyNumberFormat="0" applyAlignment="0" applyProtection="0"/>
    <xf numFmtId="0" fontId="20" fillId="9" borderId="147" applyNumberFormat="0" applyAlignment="0" applyProtection="0"/>
    <xf numFmtId="0" fontId="20" fillId="2" borderId="147" applyNumberFormat="0" applyAlignment="0" applyProtection="0"/>
    <xf numFmtId="0" fontId="20" fillId="9" borderId="147" applyNumberFormat="0" applyAlignment="0" applyProtection="0"/>
    <xf numFmtId="0" fontId="32" fillId="0" borderId="146" applyNumberFormat="0" applyFill="0" applyAlignment="0" applyProtection="0"/>
    <xf numFmtId="0" fontId="32" fillId="0" borderId="146" applyNumberFormat="0" applyFill="0" applyAlignment="0" applyProtection="0"/>
    <xf numFmtId="0" fontId="32" fillId="0" borderId="146" applyNumberFormat="0" applyFill="0" applyAlignment="0" applyProtection="0"/>
    <xf numFmtId="0" fontId="32" fillId="0" borderId="150" applyNumberFormat="0" applyFill="0" applyAlignment="0" applyProtection="0"/>
    <xf numFmtId="0" fontId="30" fillId="2" borderId="149" applyNumberFormat="0" applyAlignment="0" applyProtection="0"/>
    <xf numFmtId="0" fontId="14" fillId="6" borderId="148" applyNumberFormat="0" applyFont="0" applyAlignment="0" applyProtection="0"/>
    <xf numFmtId="0" fontId="27" fillId="4" borderId="147" applyNumberFormat="0" applyAlignment="0" applyProtection="0"/>
    <xf numFmtId="0" fontId="76" fillId="0" borderId="146" applyNumberFormat="0" applyFill="0" applyAlignment="0" applyProtection="0">
      <alignment vertical="center"/>
    </xf>
    <xf numFmtId="0" fontId="20" fillId="2" borderId="147" applyNumberFormat="0" applyAlignment="0" applyProtection="0"/>
    <xf numFmtId="0" fontId="14" fillId="6" borderId="142" applyNumberFormat="0" applyFont="0" applyAlignment="0" applyProtection="0"/>
    <xf numFmtId="0" fontId="14" fillId="6" borderId="142" applyNumberFormat="0" applyFont="0" applyAlignment="0" applyProtection="0"/>
    <xf numFmtId="0" fontId="14" fillId="6" borderId="142" applyNumberFormat="0" applyFont="0" applyAlignment="0" applyProtection="0"/>
    <xf numFmtId="0" fontId="14" fillId="6" borderId="142" applyNumberFormat="0" applyFont="0" applyAlignment="0" applyProtection="0"/>
    <xf numFmtId="0" fontId="48" fillId="6" borderId="142" applyNumberFormat="0" applyFont="0" applyAlignment="0" applyProtection="0">
      <alignment vertical="center"/>
    </xf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30" fillId="9" borderId="149" applyNumberFormat="0" applyAlignment="0" applyProtection="0"/>
    <xf numFmtId="0" fontId="30" fillId="2" borderId="149" applyNumberFormat="0" applyAlignment="0" applyProtection="0"/>
    <xf numFmtId="0" fontId="30" fillId="9" borderId="149" applyNumberFormat="0" applyAlignment="0" applyProtection="0"/>
    <xf numFmtId="0" fontId="30" fillId="9" borderId="149" applyNumberFormat="0" applyAlignment="0" applyProtection="0"/>
    <xf numFmtId="0" fontId="32" fillId="0" borderId="150" applyNumberFormat="0" applyFill="0" applyAlignment="0" applyProtection="0"/>
    <xf numFmtId="0" fontId="67" fillId="9" borderId="147" applyNumberFormat="0" applyAlignment="0" applyProtection="0">
      <alignment vertical="center"/>
    </xf>
    <xf numFmtId="0" fontId="48" fillId="6" borderId="148" applyNumberFormat="0" applyFont="0" applyAlignment="0" applyProtection="0">
      <alignment vertical="center"/>
    </xf>
    <xf numFmtId="0" fontId="77" fillId="4" borderId="147" applyNumberFormat="0" applyAlignment="0" applyProtection="0">
      <alignment vertical="center"/>
    </xf>
    <xf numFmtId="0" fontId="85" fillId="9" borderId="149" applyNumberFormat="0" applyAlignment="0" applyProtection="0">
      <alignment vertical="center"/>
    </xf>
    <xf numFmtId="0" fontId="5" fillId="0" borderId="0"/>
    <xf numFmtId="0" fontId="14" fillId="6" borderId="154" applyNumberFormat="0" applyFon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0" fillId="9" borderId="153" applyNumberFormat="0" applyAlignment="0" applyProtection="0"/>
    <xf numFmtId="0" fontId="20" fillId="9" borderId="153" applyNumberFormat="0" applyAlignment="0" applyProtection="0"/>
    <xf numFmtId="0" fontId="20" fillId="2" borderId="153" applyNumberFormat="0" applyAlignment="0" applyProtection="0"/>
    <xf numFmtId="0" fontId="20" fillId="9" borderId="153" applyNumberFormat="0" applyAlignment="0" applyProtection="0"/>
    <xf numFmtId="0" fontId="20" fillId="9" borderId="153" applyNumberFormat="0" applyAlignment="0" applyProtection="0"/>
    <xf numFmtId="0" fontId="20" fillId="2" borderId="153" applyNumberFormat="0" applyAlignment="0" applyProtection="0"/>
    <xf numFmtId="0" fontId="20" fillId="9" borderId="153" applyNumberFormat="0" applyAlignment="0" applyProtection="0"/>
    <xf numFmtId="0" fontId="20" fillId="9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30" fillId="9" borderId="155" applyNumberFormat="0" applyAlignment="0" applyProtection="0"/>
    <xf numFmtId="0" fontId="30" fillId="2" borderId="155" applyNumberFormat="0" applyAlignment="0" applyProtection="0"/>
    <xf numFmtId="0" fontId="30" fillId="9" borderId="155" applyNumberFormat="0" applyAlignment="0" applyProtection="0"/>
    <xf numFmtId="0" fontId="30" fillId="9" borderId="155" applyNumberFormat="0" applyAlignment="0" applyProtection="0"/>
    <xf numFmtId="0" fontId="32" fillId="0" borderId="157" applyNumberFormat="0" applyFill="0" applyAlignment="0" applyProtection="0"/>
    <xf numFmtId="0" fontId="32" fillId="0" borderId="156" applyNumberFormat="0" applyFill="0" applyAlignment="0" applyProtection="0"/>
    <xf numFmtId="0" fontId="32" fillId="0" borderId="157" applyNumberFormat="0" applyFill="0" applyAlignment="0" applyProtection="0"/>
    <xf numFmtId="0" fontId="32" fillId="0" borderId="157" applyNumberFormat="0" applyFill="0" applyAlignment="0" applyProtection="0"/>
    <xf numFmtId="0" fontId="67" fillId="9" borderId="153" applyNumberFormat="0" applyAlignment="0" applyProtection="0">
      <alignment vertical="center"/>
    </xf>
    <xf numFmtId="0" fontId="48" fillId="6" borderId="154" applyNumberFormat="0" applyFont="0" applyAlignment="0" applyProtection="0">
      <alignment vertical="center"/>
    </xf>
    <xf numFmtId="0" fontId="32" fillId="0" borderId="156" applyNumberFormat="0" applyFill="0" applyAlignment="0" applyProtection="0"/>
    <xf numFmtId="0" fontId="30" fillId="2" borderId="155" applyNumberFormat="0" applyAlignment="0" applyProtection="0"/>
    <xf numFmtId="0" fontId="14" fillId="6" borderId="154" applyNumberFormat="0" applyFont="0" applyAlignment="0" applyProtection="0"/>
    <xf numFmtId="0" fontId="27" fillId="4" borderId="153" applyNumberFormat="0" applyAlignment="0" applyProtection="0"/>
    <xf numFmtId="0" fontId="20" fillId="2" borderId="153" applyNumberFormat="0" applyAlignment="0" applyProtection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32" fillId="0" borderId="151" applyNumberFormat="0" applyFill="0" applyAlignment="0" applyProtection="0"/>
    <xf numFmtId="0" fontId="32" fillId="0" borderId="151" applyNumberFormat="0" applyFill="0" applyAlignment="0" applyProtection="0"/>
    <xf numFmtId="0" fontId="32" fillId="0" borderId="151" applyNumberFormat="0" applyFill="0" applyAlignment="0" applyProtection="0"/>
    <xf numFmtId="0" fontId="76" fillId="0" borderId="151" applyNumberFormat="0" applyFill="0" applyAlignment="0" applyProtection="0">
      <alignment vertical="center"/>
    </xf>
    <xf numFmtId="0" fontId="5" fillId="0" borderId="0"/>
    <xf numFmtId="0" fontId="14" fillId="6" borderId="148" applyNumberFormat="0" applyFont="0" applyAlignment="0" applyProtection="0"/>
    <xf numFmtId="0" fontId="5" fillId="0" borderId="0"/>
    <xf numFmtId="0" fontId="5" fillId="0" borderId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48" fillId="6" borderId="148" applyNumberFormat="0" applyFont="0" applyAlignment="0" applyProtection="0">
      <alignment vertical="center"/>
    </xf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20" fillId="2" borderId="147" applyNumberFormat="0" applyAlignment="0" applyProtection="0"/>
    <xf numFmtId="0" fontId="27" fillId="4" borderId="147" applyNumberFormat="0" applyAlignment="0" applyProtection="0"/>
    <xf numFmtId="0" fontId="5" fillId="0" borderId="0"/>
    <xf numFmtId="0" fontId="14" fillId="6" borderId="148" applyNumberFormat="0" applyFont="0" applyAlignment="0" applyProtection="0"/>
    <xf numFmtId="0" fontId="30" fillId="2" borderId="114" applyNumberFormat="0" applyAlignment="0" applyProtection="0"/>
    <xf numFmtId="0" fontId="32" fillId="0" borderId="150" applyNumberFormat="0" applyFill="0" applyAlignment="0" applyProtection="0"/>
    <xf numFmtId="0" fontId="48" fillId="6" borderId="148" applyNumberFormat="0" applyFont="0" applyAlignment="0" applyProtection="0">
      <alignment vertical="center"/>
    </xf>
    <xf numFmtId="0" fontId="67" fillId="9" borderId="147" applyNumberFormat="0" applyAlignment="0" applyProtection="0">
      <alignment vertical="center"/>
    </xf>
    <xf numFmtId="0" fontId="32" fillId="0" borderId="118" applyNumberFormat="0" applyFill="0" applyAlignment="0" applyProtection="0"/>
    <xf numFmtId="0" fontId="32" fillId="0" borderId="118" applyNumberFormat="0" applyFill="0" applyAlignment="0" applyProtection="0"/>
    <xf numFmtId="0" fontId="32" fillId="0" borderId="150" applyNumberFormat="0" applyFill="0" applyAlignment="0" applyProtection="0"/>
    <xf numFmtId="0" fontId="32" fillId="0" borderId="118" applyNumberFormat="0" applyFill="0" applyAlignment="0" applyProtection="0"/>
    <xf numFmtId="0" fontId="30" fillId="9" borderId="114" applyNumberFormat="0" applyAlignment="0" applyProtection="0"/>
    <xf numFmtId="0" fontId="30" fillId="9" borderId="114" applyNumberFormat="0" applyAlignment="0" applyProtection="0"/>
    <xf numFmtId="0" fontId="30" fillId="2" borderId="114" applyNumberFormat="0" applyAlignment="0" applyProtection="0"/>
    <xf numFmtId="0" fontId="30" fillId="9" borderId="114" applyNumberForma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20" fillId="9" borderId="147" applyNumberFormat="0" applyAlignment="0" applyProtection="0"/>
    <xf numFmtId="0" fontId="20" fillId="9" borderId="147" applyNumberFormat="0" applyAlignment="0" applyProtection="0"/>
    <xf numFmtId="0" fontId="20" fillId="2" borderId="147" applyNumberFormat="0" applyAlignment="0" applyProtection="0"/>
    <xf numFmtId="0" fontId="20" fillId="9" borderId="147" applyNumberFormat="0" applyAlignment="0" applyProtection="0"/>
    <xf numFmtId="0" fontId="20" fillId="9" borderId="147" applyNumberFormat="0" applyAlignment="0" applyProtection="0"/>
    <xf numFmtId="0" fontId="20" fillId="2" borderId="147" applyNumberFormat="0" applyAlignment="0" applyProtection="0"/>
    <xf numFmtId="0" fontId="20" fillId="9" borderId="147" applyNumberFormat="0" applyAlignment="0" applyProtection="0"/>
    <xf numFmtId="0" fontId="20" fillId="9" borderId="147" applyNumberFormat="0" applyAlignment="0" applyProtection="0"/>
    <xf numFmtId="0" fontId="40" fillId="0" borderId="145">
      <alignment horizontal="left" vertical="center"/>
    </xf>
    <xf numFmtId="10" fontId="54" fillId="19" borderId="138" applyNumberFormat="0" applyBorder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5" fillId="0" borderId="0"/>
    <xf numFmtId="0" fontId="5" fillId="0" borderId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30" fillId="9" borderId="114" applyNumberFormat="0" applyAlignment="0" applyProtection="0"/>
    <xf numFmtId="0" fontId="30" fillId="2" borderId="114" applyNumberFormat="0" applyAlignment="0" applyProtection="0"/>
    <xf numFmtId="0" fontId="30" fillId="9" borderId="114" applyNumberFormat="0" applyAlignment="0" applyProtection="0"/>
    <xf numFmtId="0" fontId="30" fillId="9" borderId="114" applyNumberFormat="0" applyAlignment="0" applyProtection="0"/>
    <xf numFmtId="0" fontId="32" fillId="0" borderId="118" applyNumberFormat="0" applyFill="0" applyAlignment="0" applyProtection="0"/>
    <xf numFmtId="0" fontId="32" fillId="0" borderId="150" applyNumberFormat="0" applyFill="0" applyAlignment="0" applyProtection="0"/>
    <xf numFmtId="0" fontId="32" fillId="0" borderId="118" applyNumberFormat="0" applyFill="0" applyAlignment="0" applyProtection="0"/>
    <xf numFmtId="0" fontId="32" fillId="0" borderId="118" applyNumberFormat="0" applyFill="0" applyAlignment="0" applyProtection="0"/>
    <xf numFmtId="0" fontId="67" fillId="9" borderId="147" applyNumberFormat="0" applyAlignment="0" applyProtection="0">
      <alignment vertical="center"/>
    </xf>
    <xf numFmtId="0" fontId="48" fillId="6" borderId="148" applyNumberFormat="0" applyFont="0" applyAlignment="0" applyProtection="0">
      <alignment vertical="center"/>
    </xf>
    <xf numFmtId="0" fontId="32" fillId="0" borderId="150" applyNumberFormat="0" applyFill="0" applyAlignment="0" applyProtection="0"/>
    <xf numFmtId="0" fontId="30" fillId="2" borderId="114" applyNumberFormat="0" applyAlignment="0" applyProtection="0"/>
    <xf numFmtId="0" fontId="14" fillId="6" borderId="148" applyNumberFormat="0" applyFont="0" applyAlignment="0" applyProtection="0"/>
    <xf numFmtId="0" fontId="27" fillId="4" borderId="147" applyNumberFormat="0" applyAlignment="0" applyProtection="0"/>
    <xf numFmtId="0" fontId="20" fillId="2" borderId="147" applyNumberFormat="0" applyAlignment="0" applyProtection="0"/>
    <xf numFmtId="0" fontId="76" fillId="0" borderId="118" applyNumberFormat="0" applyFill="0" applyAlignment="0" applyProtection="0">
      <alignment vertical="center"/>
    </xf>
    <xf numFmtId="0" fontId="77" fillId="4" borderId="147" applyNumberFormat="0" applyAlignment="0" applyProtection="0">
      <alignment vertical="center"/>
    </xf>
    <xf numFmtId="0" fontId="85" fillId="9" borderId="114" applyNumberFormat="0" applyAlignment="0" applyProtection="0">
      <alignment vertical="center"/>
    </xf>
    <xf numFmtId="0" fontId="20" fillId="2" borderId="147" applyNumberFormat="0" applyAlignment="0" applyProtection="0"/>
    <xf numFmtId="0" fontId="27" fillId="4" borderId="147" applyNumberFormat="0" applyAlignment="0" applyProtection="0"/>
    <xf numFmtId="0" fontId="5" fillId="0" borderId="0"/>
    <xf numFmtId="0" fontId="14" fillId="6" borderId="148" applyNumberFormat="0" applyFont="0" applyAlignment="0" applyProtection="0"/>
    <xf numFmtId="0" fontId="30" fillId="2" borderId="114" applyNumberFormat="0" applyAlignment="0" applyProtection="0"/>
    <xf numFmtId="0" fontId="32" fillId="0" borderId="150" applyNumberFormat="0" applyFill="0" applyAlignment="0" applyProtection="0"/>
    <xf numFmtId="0" fontId="20" fillId="9" borderId="147" applyNumberFormat="0" applyAlignment="0" applyProtection="0"/>
    <xf numFmtId="0" fontId="20" fillId="2" borderId="147" applyNumberFormat="0" applyAlignment="0" applyProtection="0"/>
    <xf numFmtId="0" fontId="20" fillId="9" borderId="147" applyNumberFormat="0" applyAlignment="0" applyProtection="0"/>
    <xf numFmtId="0" fontId="20" fillId="9" borderId="147" applyNumberFormat="0" applyAlignment="0" applyProtection="0"/>
    <xf numFmtId="0" fontId="40" fillId="0" borderId="145">
      <alignment horizontal="left" vertical="center"/>
    </xf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5" fillId="0" borderId="0"/>
    <xf numFmtId="0" fontId="5" fillId="0" borderId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30" fillId="9" borderId="114" applyNumberFormat="0" applyAlignment="0" applyProtection="0"/>
    <xf numFmtId="0" fontId="30" fillId="2" borderId="114" applyNumberFormat="0" applyAlignment="0" applyProtection="0"/>
    <xf numFmtId="0" fontId="30" fillId="9" borderId="114" applyNumberFormat="0" applyAlignment="0" applyProtection="0"/>
    <xf numFmtId="0" fontId="30" fillId="9" borderId="114" applyNumberFormat="0" applyAlignment="0" applyProtection="0"/>
    <xf numFmtId="0" fontId="32" fillId="0" borderId="150" applyNumberFormat="0" applyFill="0" applyAlignment="0" applyProtection="0"/>
    <xf numFmtId="0" fontId="67" fillId="9" borderId="147" applyNumberFormat="0" applyAlignment="0" applyProtection="0">
      <alignment vertical="center"/>
    </xf>
    <xf numFmtId="0" fontId="48" fillId="6" borderId="148" applyNumberFormat="0" applyFont="0" applyAlignment="0" applyProtection="0">
      <alignment vertical="center"/>
    </xf>
    <xf numFmtId="0" fontId="77" fillId="4" borderId="147" applyNumberFormat="0" applyAlignment="0" applyProtection="0">
      <alignment vertical="center"/>
    </xf>
    <xf numFmtId="0" fontId="85" fillId="9" borderId="114" applyNumberFormat="0" applyAlignment="0" applyProtection="0">
      <alignment vertical="center"/>
    </xf>
    <xf numFmtId="0" fontId="5" fillId="0" borderId="0"/>
    <xf numFmtId="0" fontId="27" fillId="4" borderId="147" applyNumberFormat="0" applyAlignment="0" applyProtection="0"/>
    <xf numFmtId="0" fontId="40" fillId="0" borderId="145">
      <alignment horizontal="left" vertical="center"/>
    </xf>
    <xf numFmtId="0" fontId="20" fillId="9" borderId="147" applyNumberFormat="0" applyAlignment="0" applyProtection="0"/>
    <xf numFmtId="0" fontId="20" fillId="9" borderId="147" applyNumberFormat="0" applyAlignment="0" applyProtection="0"/>
    <xf numFmtId="0" fontId="20" fillId="2" borderId="147" applyNumberFormat="0" applyAlignment="0" applyProtection="0"/>
    <xf numFmtId="0" fontId="20" fillId="9" borderId="147" applyNumberFormat="0" applyAlignment="0" applyProtection="0"/>
    <xf numFmtId="0" fontId="32" fillId="0" borderId="150" applyNumberFormat="0" applyFill="0" applyAlignment="0" applyProtection="0"/>
    <xf numFmtId="0" fontId="30" fillId="2" borderId="114" applyNumberFormat="0" applyAlignment="0" applyProtection="0"/>
    <xf numFmtId="0" fontId="14" fillId="6" borderId="148" applyNumberFormat="0" applyFont="0" applyAlignment="0" applyProtection="0"/>
    <xf numFmtId="0" fontId="27" fillId="4" borderId="147" applyNumberFormat="0" applyAlignment="0" applyProtection="0"/>
    <xf numFmtId="0" fontId="20" fillId="2" borderId="147" applyNumberFormat="0" applyAlignment="0" applyProtection="0"/>
    <xf numFmtId="0" fontId="85" fillId="9" borderId="114" applyNumberFormat="0" applyAlignment="0" applyProtection="0">
      <alignment vertical="center"/>
    </xf>
    <xf numFmtId="0" fontId="77" fillId="4" borderId="147" applyNumberFormat="0" applyAlignment="0" applyProtection="0">
      <alignment vertical="center"/>
    </xf>
    <xf numFmtId="0" fontId="76" fillId="0" borderId="118" applyNumberFormat="0" applyFill="0" applyAlignment="0" applyProtection="0">
      <alignment vertical="center"/>
    </xf>
    <xf numFmtId="0" fontId="48" fillId="6" borderId="148" applyNumberFormat="0" applyFont="0" applyAlignment="0" applyProtection="0">
      <alignment vertical="center"/>
    </xf>
    <xf numFmtId="0" fontId="67" fillId="9" borderId="147" applyNumberFormat="0" applyAlignment="0" applyProtection="0">
      <alignment vertical="center"/>
    </xf>
    <xf numFmtId="0" fontId="32" fillId="0" borderId="118" applyNumberFormat="0" applyFill="0" applyAlignment="0" applyProtection="0"/>
    <xf numFmtId="0" fontId="32" fillId="0" borderId="118" applyNumberFormat="0" applyFill="0" applyAlignment="0" applyProtection="0"/>
    <xf numFmtId="0" fontId="32" fillId="0" borderId="150" applyNumberFormat="0" applyFill="0" applyAlignment="0" applyProtection="0"/>
    <xf numFmtId="0" fontId="32" fillId="0" borderId="118" applyNumberFormat="0" applyFill="0" applyAlignment="0" applyProtection="0"/>
    <xf numFmtId="0" fontId="30" fillId="9" borderId="114" applyNumberFormat="0" applyAlignment="0" applyProtection="0"/>
    <xf numFmtId="0" fontId="30" fillId="9" borderId="114" applyNumberFormat="0" applyAlignment="0" applyProtection="0"/>
    <xf numFmtId="0" fontId="30" fillId="2" borderId="114" applyNumberFormat="0" applyAlignment="0" applyProtection="0"/>
    <xf numFmtId="0" fontId="30" fillId="9" borderId="114" applyNumberForma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40" fillId="0" borderId="145">
      <alignment horizontal="left" vertical="center"/>
    </xf>
    <xf numFmtId="0" fontId="20" fillId="9" borderId="147" applyNumberFormat="0" applyAlignment="0" applyProtection="0"/>
    <xf numFmtId="0" fontId="20" fillId="9" borderId="147" applyNumberFormat="0" applyAlignment="0" applyProtection="0"/>
    <xf numFmtId="0" fontId="20" fillId="2" borderId="147" applyNumberFormat="0" applyAlignment="0" applyProtection="0"/>
    <xf numFmtId="0" fontId="20" fillId="9" borderId="147" applyNumberFormat="0" applyAlignment="0" applyProtection="0"/>
    <xf numFmtId="0" fontId="5" fillId="0" borderId="0"/>
    <xf numFmtId="0" fontId="5" fillId="0" borderId="0"/>
    <xf numFmtId="0" fontId="32" fillId="0" borderId="118" applyNumberFormat="0" applyFill="0" applyAlignment="0" applyProtection="0"/>
    <xf numFmtId="0" fontId="32" fillId="0" borderId="118" applyNumberFormat="0" applyFill="0" applyAlignment="0" applyProtection="0"/>
    <xf numFmtId="0" fontId="32" fillId="0" borderId="118" applyNumberFormat="0" applyFill="0" applyAlignment="0" applyProtection="0"/>
    <xf numFmtId="0" fontId="32" fillId="0" borderId="150" applyNumberFormat="0" applyFill="0" applyAlignment="0" applyProtection="0"/>
    <xf numFmtId="0" fontId="30" fillId="2" borderId="114" applyNumberFormat="0" applyAlignment="0" applyProtection="0"/>
    <xf numFmtId="0" fontId="14" fillId="6" borderId="148" applyNumberFormat="0" applyFont="0" applyAlignment="0" applyProtection="0"/>
    <xf numFmtId="0" fontId="27" fillId="4" borderId="147" applyNumberFormat="0" applyAlignment="0" applyProtection="0"/>
    <xf numFmtId="0" fontId="76" fillId="0" borderId="118" applyNumberFormat="0" applyFill="0" applyAlignment="0" applyProtection="0">
      <alignment vertical="center"/>
    </xf>
    <xf numFmtId="0" fontId="20" fillId="2" borderId="147" applyNumberFormat="0" applyAlignment="0" applyProtection="0"/>
    <xf numFmtId="0" fontId="5" fillId="0" borderId="0"/>
    <xf numFmtId="0" fontId="14" fillId="6" borderId="148" applyNumberFormat="0" applyFont="0" applyAlignment="0" applyProtection="0"/>
    <xf numFmtId="0" fontId="5" fillId="0" borderId="0"/>
    <xf numFmtId="0" fontId="5" fillId="0" borderId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48" fillId="6" borderId="148" applyNumberFormat="0" applyFont="0" applyAlignment="0" applyProtection="0">
      <alignment vertical="center"/>
    </xf>
    <xf numFmtId="0" fontId="27" fillId="4" borderId="147" applyNumberFormat="0" applyAlignment="0" applyProtection="0"/>
    <xf numFmtId="0" fontId="27" fillId="4" borderId="147" applyNumberFormat="0" applyAlignment="0" applyProtection="0"/>
    <xf numFmtId="0" fontId="27" fillId="4" borderId="147" applyNumberForma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30" fillId="9" borderId="114" applyNumberFormat="0" applyAlignment="0" applyProtection="0"/>
    <xf numFmtId="0" fontId="30" fillId="2" borderId="114" applyNumberFormat="0" applyAlignment="0" applyProtection="0"/>
    <xf numFmtId="0" fontId="30" fillId="9" borderId="114" applyNumberFormat="0" applyAlignment="0" applyProtection="0"/>
    <xf numFmtId="0" fontId="30" fillId="9" borderId="114" applyNumberFormat="0" applyAlignment="0" applyProtection="0"/>
    <xf numFmtId="0" fontId="32" fillId="0" borderId="150" applyNumberFormat="0" applyFill="0" applyAlignment="0" applyProtection="0"/>
    <xf numFmtId="0" fontId="67" fillId="9" borderId="147" applyNumberFormat="0" applyAlignment="0" applyProtection="0">
      <alignment vertical="center"/>
    </xf>
    <xf numFmtId="0" fontId="48" fillId="6" borderId="148" applyNumberFormat="0" applyFont="0" applyAlignment="0" applyProtection="0">
      <alignment vertical="center"/>
    </xf>
    <xf numFmtId="0" fontId="77" fillId="4" borderId="147" applyNumberFormat="0" applyAlignment="0" applyProtection="0">
      <alignment vertical="center"/>
    </xf>
    <xf numFmtId="0" fontId="85" fillId="9" borderId="114" applyNumberFormat="0" applyAlignment="0" applyProtection="0">
      <alignment vertical="center"/>
    </xf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76" fillId="0" borderId="118" applyNumberFormat="0" applyFill="0" applyAlignment="0" applyProtection="0">
      <alignment vertical="center"/>
    </xf>
    <xf numFmtId="0" fontId="77" fillId="4" borderId="147" applyNumberFormat="0" applyAlignment="0" applyProtection="0">
      <alignment vertical="center"/>
    </xf>
    <xf numFmtId="0" fontId="85" fillId="9" borderId="114" applyNumberFormat="0" applyAlignment="0" applyProtection="0">
      <alignment vertical="center"/>
    </xf>
    <xf numFmtId="0" fontId="30" fillId="2" borderId="114" applyNumberFormat="0" applyAlignment="0" applyProtection="0"/>
    <xf numFmtId="0" fontId="30" fillId="9" borderId="114" applyNumberFormat="0" applyAlignment="0" applyProtection="0"/>
    <xf numFmtId="0" fontId="30" fillId="2" borderId="114" applyNumberFormat="0" applyAlignment="0" applyProtection="0"/>
    <xf numFmtId="0" fontId="30" fillId="9" borderId="114" applyNumberFormat="0" applyAlignment="0" applyProtection="0"/>
    <xf numFmtId="0" fontId="30" fillId="9" borderId="114" applyNumberFormat="0" applyAlignment="0" applyProtection="0"/>
    <xf numFmtId="0" fontId="85" fillId="9" borderId="114" applyNumberFormat="0" applyAlignment="0" applyProtection="0">
      <alignment vertical="center"/>
    </xf>
    <xf numFmtId="0" fontId="30" fillId="2" borderId="114" applyNumberFormat="0" applyAlignment="0" applyProtection="0"/>
    <xf numFmtId="0" fontId="85" fillId="9" borderId="114" applyNumberFormat="0" applyAlignment="0" applyProtection="0">
      <alignment vertical="center"/>
    </xf>
    <xf numFmtId="0" fontId="76" fillId="0" borderId="118" applyNumberFormat="0" applyFill="0" applyAlignment="0" applyProtection="0">
      <alignment vertical="center"/>
    </xf>
    <xf numFmtId="0" fontId="32" fillId="0" borderId="118" applyNumberFormat="0" applyFill="0" applyAlignment="0" applyProtection="0"/>
    <xf numFmtId="0" fontId="32" fillId="0" borderId="118" applyNumberFormat="0" applyFill="0" applyAlignment="0" applyProtection="0"/>
    <xf numFmtId="0" fontId="32" fillId="0" borderId="118" applyNumberFormat="0" applyFill="0" applyAlignment="0" applyProtection="0"/>
    <xf numFmtId="0" fontId="30" fillId="9" borderId="114" applyNumberFormat="0" applyAlignment="0" applyProtection="0"/>
    <xf numFmtId="0" fontId="30" fillId="9" borderId="114" applyNumberFormat="0" applyAlignment="0" applyProtection="0"/>
    <xf numFmtId="0" fontId="30" fillId="2" borderId="114" applyNumberFormat="0" applyAlignment="0" applyProtection="0"/>
    <xf numFmtId="0" fontId="30" fillId="9" borderId="114" applyNumberFormat="0" applyAlignment="0" applyProtection="0"/>
    <xf numFmtId="0" fontId="32" fillId="0" borderId="118" applyNumberFormat="0" applyFill="0" applyAlignment="0" applyProtection="0"/>
    <xf numFmtId="0" fontId="32" fillId="0" borderId="118" applyNumberFormat="0" applyFill="0" applyAlignment="0" applyProtection="0"/>
    <xf numFmtId="0" fontId="32" fillId="0" borderId="118" applyNumberFormat="0" applyFill="0" applyAlignment="0" applyProtection="0"/>
    <xf numFmtId="0" fontId="30" fillId="2" borderId="114" applyNumberFormat="0" applyAlignment="0" applyProtection="0"/>
    <xf numFmtId="0" fontId="76" fillId="0" borderId="118" applyNumberFormat="0" applyFill="0" applyAlignment="0" applyProtection="0">
      <alignment vertical="center"/>
    </xf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14" fillId="6" borderId="148" applyNumberFormat="0" applyFont="0" applyAlignment="0" applyProtection="0"/>
    <xf numFmtId="0" fontId="48" fillId="6" borderId="148" applyNumberFormat="0" applyFont="0" applyAlignment="0" applyProtection="0">
      <alignment vertical="center"/>
    </xf>
    <xf numFmtId="0" fontId="30" fillId="9" borderId="114" applyNumberFormat="0" applyAlignment="0" applyProtection="0"/>
    <xf numFmtId="0" fontId="30" fillId="2" borderId="114" applyNumberFormat="0" applyAlignment="0" applyProtection="0"/>
    <xf numFmtId="0" fontId="30" fillId="9" borderId="114" applyNumberFormat="0" applyAlignment="0" applyProtection="0"/>
    <xf numFmtId="0" fontId="30" fillId="9" borderId="114" applyNumberFormat="0" applyAlignment="0" applyProtection="0"/>
    <xf numFmtId="0" fontId="85" fillId="9" borderId="114" applyNumberFormat="0" applyAlignment="0" applyProtection="0">
      <alignment vertical="center"/>
    </xf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30" fillId="9" borderId="155" applyNumberFormat="0" applyAlignment="0" applyProtection="0"/>
    <xf numFmtId="0" fontId="30" fillId="2" borderId="155" applyNumberFormat="0" applyAlignment="0" applyProtection="0"/>
    <xf numFmtId="0" fontId="30" fillId="9" borderId="155" applyNumberFormat="0" applyAlignment="0" applyProtection="0"/>
    <xf numFmtId="0" fontId="30" fillId="9" borderId="155" applyNumberFormat="0" applyAlignment="0" applyProtection="0"/>
    <xf numFmtId="0" fontId="32" fillId="0" borderId="157" applyNumberFormat="0" applyFill="0" applyAlignment="0" applyProtection="0"/>
    <xf numFmtId="0" fontId="32" fillId="0" borderId="156" applyNumberFormat="0" applyFill="0" applyAlignment="0" applyProtection="0"/>
    <xf numFmtId="0" fontId="32" fillId="0" borderId="157" applyNumberFormat="0" applyFill="0" applyAlignment="0" applyProtection="0"/>
    <xf numFmtId="0" fontId="32" fillId="0" borderId="157" applyNumberFormat="0" applyFill="0" applyAlignment="0" applyProtection="0"/>
    <xf numFmtId="0" fontId="67" fillId="9" borderId="153" applyNumberFormat="0" applyAlignment="0" applyProtection="0">
      <alignment vertical="center"/>
    </xf>
    <xf numFmtId="0" fontId="48" fillId="6" borderId="154" applyNumberFormat="0" applyFont="0" applyAlignment="0" applyProtection="0">
      <alignment vertical="center"/>
    </xf>
    <xf numFmtId="0" fontId="32" fillId="0" borderId="156" applyNumberFormat="0" applyFill="0" applyAlignment="0" applyProtection="0"/>
    <xf numFmtId="0" fontId="30" fillId="2" borderId="155" applyNumberFormat="0" applyAlignment="0" applyProtection="0"/>
    <xf numFmtId="0" fontId="14" fillId="6" borderId="154" applyNumberFormat="0" applyFont="0" applyAlignment="0" applyProtection="0"/>
    <xf numFmtId="0" fontId="27" fillId="4" borderId="153" applyNumberFormat="0" applyAlignment="0" applyProtection="0"/>
    <xf numFmtId="0" fontId="20" fillId="2" borderId="153" applyNumberFormat="0" applyAlignment="0" applyProtection="0"/>
    <xf numFmtId="0" fontId="76" fillId="0" borderId="157" applyNumberFormat="0" applyFill="0" applyAlignment="0" applyProtection="0">
      <alignment vertical="center"/>
    </xf>
    <xf numFmtId="0" fontId="77" fillId="4" borderId="153" applyNumberFormat="0" applyAlignment="0" applyProtection="0">
      <alignment vertical="center"/>
    </xf>
    <xf numFmtId="0" fontId="85" fillId="9" borderId="155" applyNumberFormat="0" applyAlignment="0" applyProtection="0">
      <alignment vertical="center"/>
    </xf>
    <xf numFmtId="0" fontId="20" fillId="2" borderId="153" applyNumberFormat="0" applyAlignment="0" applyProtection="0"/>
    <xf numFmtId="0" fontId="27" fillId="4" borderId="153" applyNumberFormat="0" applyAlignment="0" applyProtection="0"/>
    <xf numFmtId="0" fontId="14" fillId="6" borderId="154" applyNumberFormat="0" applyFont="0" applyAlignment="0" applyProtection="0"/>
    <xf numFmtId="0" fontId="30" fillId="2" borderId="155" applyNumberFormat="0" applyAlignment="0" applyProtection="0"/>
    <xf numFmtId="0" fontId="32" fillId="0" borderId="156" applyNumberFormat="0" applyFill="0" applyAlignment="0" applyProtection="0"/>
    <xf numFmtId="0" fontId="20" fillId="9" borderId="153" applyNumberFormat="0" applyAlignment="0" applyProtection="0"/>
    <xf numFmtId="0" fontId="20" fillId="2" borderId="153" applyNumberFormat="0" applyAlignment="0" applyProtection="0"/>
    <xf numFmtId="0" fontId="20" fillId="9" borderId="153" applyNumberFormat="0" applyAlignment="0" applyProtection="0"/>
    <xf numFmtId="0" fontId="20" fillId="9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30" fillId="9" borderId="155" applyNumberFormat="0" applyAlignment="0" applyProtection="0"/>
    <xf numFmtId="0" fontId="30" fillId="2" borderId="155" applyNumberFormat="0" applyAlignment="0" applyProtection="0"/>
    <xf numFmtId="0" fontId="30" fillId="9" borderId="155" applyNumberFormat="0" applyAlignment="0" applyProtection="0"/>
    <xf numFmtId="0" fontId="30" fillId="9" borderId="155" applyNumberFormat="0" applyAlignment="0" applyProtection="0"/>
    <xf numFmtId="0" fontId="32" fillId="0" borderId="156" applyNumberFormat="0" applyFill="0" applyAlignment="0" applyProtection="0"/>
    <xf numFmtId="0" fontId="67" fillId="9" borderId="153" applyNumberFormat="0" applyAlignment="0" applyProtection="0">
      <alignment vertical="center"/>
    </xf>
    <xf numFmtId="0" fontId="48" fillId="6" borderId="154" applyNumberFormat="0" applyFont="0" applyAlignment="0" applyProtection="0">
      <alignment vertical="center"/>
    </xf>
    <xf numFmtId="0" fontId="77" fillId="4" borderId="153" applyNumberFormat="0" applyAlignment="0" applyProtection="0">
      <alignment vertical="center"/>
    </xf>
    <xf numFmtId="0" fontId="85" fillId="9" borderId="155" applyNumberFormat="0" applyAlignment="0" applyProtection="0">
      <alignment vertical="center"/>
    </xf>
    <xf numFmtId="0" fontId="27" fillId="4" borderId="153" applyNumberFormat="0" applyAlignment="0" applyProtection="0"/>
    <xf numFmtId="0" fontId="20" fillId="9" borderId="153" applyNumberFormat="0" applyAlignment="0" applyProtection="0"/>
    <xf numFmtId="0" fontId="20" fillId="9" borderId="153" applyNumberFormat="0" applyAlignment="0" applyProtection="0"/>
    <xf numFmtId="0" fontId="20" fillId="2" borderId="153" applyNumberFormat="0" applyAlignment="0" applyProtection="0"/>
    <xf numFmtId="0" fontId="20" fillId="9" borderId="153" applyNumberFormat="0" applyAlignment="0" applyProtection="0"/>
    <xf numFmtId="0" fontId="32" fillId="0" borderId="156" applyNumberFormat="0" applyFill="0" applyAlignment="0" applyProtection="0"/>
    <xf numFmtId="0" fontId="30" fillId="2" borderId="155" applyNumberFormat="0" applyAlignment="0" applyProtection="0"/>
    <xf numFmtId="0" fontId="14" fillId="6" borderId="154" applyNumberFormat="0" applyFont="0" applyAlignment="0" applyProtection="0"/>
    <xf numFmtId="0" fontId="27" fillId="4" borderId="153" applyNumberFormat="0" applyAlignment="0" applyProtection="0"/>
    <xf numFmtId="0" fontId="20" fillId="2" borderId="153" applyNumberFormat="0" applyAlignment="0" applyProtection="0"/>
    <xf numFmtId="0" fontId="85" fillId="9" borderId="155" applyNumberFormat="0" applyAlignment="0" applyProtection="0">
      <alignment vertical="center"/>
    </xf>
    <xf numFmtId="0" fontId="77" fillId="4" borderId="153" applyNumberFormat="0" applyAlignment="0" applyProtection="0">
      <alignment vertical="center"/>
    </xf>
    <xf numFmtId="0" fontId="76" fillId="0" borderId="157" applyNumberFormat="0" applyFill="0" applyAlignment="0" applyProtection="0">
      <alignment vertical="center"/>
    </xf>
    <xf numFmtId="0" fontId="48" fillId="6" borderId="154" applyNumberFormat="0" applyFont="0" applyAlignment="0" applyProtection="0">
      <alignment vertical="center"/>
    </xf>
    <xf numFmtId="0" fontId="67" fillId="9" borderId="153" applyNumberFormat="0" applyAlignment="0" applyProtection="0">
      <alignment vertical="center"/>
    </xf>
    <xf numFmtId="0" fontId="32" fillId="0" borderId="157" applyNumberFormat="0" applyFill="0" applyAlignment="0" applyProtection="0"/>
    <xf numFmtId="0" fontId="32" fillId="0" borderId="157" applyNumberFormat="0" applyFill="0" applyAlignment="0" applyProtection="0"/>
    <xf numFmtId="0" fontId="32" fillId="0" borderId="156" applyNumberFormat="0" applyFill="0" applyAlignment="0" applyProtection="0"/>
    <xf numFmtId="0" fontId="32" fillId="0" borderId="157" applyNumberFormat="0" applyFill="0" applyAlignment="0" applyProtection="0"/>
    <xf numFmtId="0" fontId="30" fillId="9" borderId="155" applyNumberFormat="0" applyAlignment="0" applyProtection="0"/>
    <xf numFmtId="0" fontId="30" fillId="9" borderId="155" applyNumberFormat="0" applyAlignment="0" applyProtection="0"/>
    <xf numFmtId="0" fontId="30" fillId="2" borderId="155" applyNumberFormat="0" applyAlignment="0" applyProtection="0"/>
    <xf numFmtId="0" fontId="30" fillId="9" borderId="155" applyNumberForma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0" fillId="9" borderId="153" applyNumberFormat="0" applyAlignment="0" applyProtection="0"/>
    <xf numFmtId="0" fontId="20" fillId="9" borderId="153" applyNumberFormat="0" applyAlignment="0" applyProtection="0"/>
    <xf numFmtId="0" fontId="20" fillId="2" borderId="153" applyNumberFormat="0" applyAlignment="0" applyProtection="0"/>
    <xf numFmtId="0" fontId="20" fillId="9" borderId="153" applyNumberFormat="0" applyAlignment="0" applyProtection="0"/>
    <xf numFmtId="0" fontId="32" fillId="0" borderId="157" applyNumberFormat="0" applyFill="0" applyAlignment="0" applyProtection="0"/>
    <xf numFmtId="0" fontId="32" fillId="0" borderId="157" applyNumberFormat="0" applyFill="0" applyAlignment="0" applyProtection="0"/>
    <xf numFmtId="0" fontId="32" fillId="0" borderId="157" applyNumberFormat="0" applyFill="0" applyAlignment="0" applyProtection="0"/>
    <xf numFmtId="0" fontId="32" fillId="0" borderId="156" applyNumberFormat="0" applyFill="0" applyAlignment="0" applyProtection="0"/>
    <xf numFmtId="0" fontId="30" fillId="2" borderId="155" applyNumberFormat="0" applyAlignment="0" applyProtection="0"/>
    <xf numFmtId="0" fontId="14" fillId="6" borderId="154" applyNumberFormat="0" applyFont="0" applyAlignment="0" applyProtection="0"/>
    <xf numFmtId="0" fontId="27" fillId="4" borderId="153" applyNumberFormat="0" applyAlignment="0" applyProtection="0"/>
    <xf numFmtId="0" fontId="76" fillId="0" borderId="157" applyNumberFormat="0" applyFill="0" applyAlignment="0" applyProtection="0">
      <alignment vertical="center"/>
    </xf>
    <xf numFmtId="0" fontId="20" fillId="2" borderId="153" applyNumberForma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48" fillId="6" borderId="154" applyNumberFormat="0" applyFont="0" applyAlignment="0" applyProtection="0">
      <alignment vertical="center"/>
    </xf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30" fillId="9" borderId="155" applyNumberFormat="0" applyAlignment="0" applyProtection="0"/>
    <xf numFmtId="0" fontId="30" fillId="2" borderId="155" applyNumberFormat="0" applyAlignment="0" applyProtection="0"/>
    <xf numFmtId="0" fontId="30" fillId="9" borderId="155" applyNumberFormat="0" applyAlignment="0" applyProtection="0"/>
    <xf numFmtId="0" fontId="30" fillId="9" borderId="155" applyNumberFormat="0" applyAlignment="0" applyProtection="0"/>
    <xf numFmtId="0" fontId="32" fillId="0" borderId="156" applyNumberFormat="0" applyFill="0" applyAlignment="0" applyProtection="0"/>
    <xf numFmtId="0" fontId="67" fillId="9" borderId="153" applyNumberFormat="0" applyAlignment="0" applyProtection="0">
      <alignment vertical="center"/>
    </xf>
    <xf numFmtId="0" fontId="48" fillId="6" borderId="154" applyNumberFormat="0" applyFont="0" applyAlignment="0" applyProtection="0">
      <alignment vertical="center"/>
    </xf>
    <xf numFmtId="0" fontId="77" fillId="4" borderId="153" applyNumberFormat="0" applyAlignment="0" applyProtection="0">
      <alignment vertical="center"/>
    </xf>
    <xf numFmtId="0" fontId="85" fillId="9" borderId="155" applyNumberFormat="0" applyAlignment="0" applyProtection="0">
      <alignment vertical="center"/>
    </xf>
    <xf numFmtId="0" fontId="76" fillId="0" borderId="157" applyNumberFormat="0" applyFill="0" applyAlignment="0" applyProtection="0">
      <alignment vertical="center"/>
    </xf>
    <xf numFmtId="0" fontId="77" fillId="4" borderId="153" applyNumberFormat="0" applyAlignment="0" applyProtection="0">
      <alignment vertical="center"/>
    </xf>
    <xf numFmtId="0" fontId="85" fillId="9" borderId="155" applyNumberFormat="0" applyAlignment="0" applyProtection="0">
      <alignment vertical="center"/>
    </xf>
    <xf numFmtId="0" fontId="20" fillId="2" borderId="153" applyNumberFormat="0" applyAlignment="0" applyProtection="0"/>
    <xf numFmtId="0" fontId="27" fillId="4" borderId="153" applyNumberFormat="0" applyAlignment="0" applyProtection="0"/>
    <xf numFmtId="0" fontId="14" fillId="6" borderId="154" applyNumberFormat="0" applyFont="0" applyAlignment="0" applyProtection="0"/>
    <xf numFmtId="0" fontId="30" fillId="2" borderId="155" applyNumberFormat="0" applyAlignment="0" applyProtection="0"/>
    <xf numFmtId="0" fontId="32" fillId="0" borderId="156" applyNumberFormat="0" applyFill="0" applyAlignment="0" applyProtection="0"/>
    <xf numFmtId="0" fontId="20" fillId="9" borderId="153" applyNumberFormat="0" applyAlignment="0" applyProtection="0"/>
    <xf numFmtId="0" fontId="20" fillId="2" borderId="153" applyNumberFormat="0" applyAlignment="0" applyProtection="0"/>
    <xf numFmtId="0" fontId="20" fillId="9" borderId="153" applyNumberFormat="0" applyAlignment="0" applyProtection="0"/>
    <xf numFmtId="0" fontId="20" fillId="9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30" fillId="9" borderId="155" applyNumberFormat="0" applyAlignment="0" applyProtection="0"/>
    <xf numFmtId="0" fontId="30" fillId="2" borderId="155" applyNumberFormat="0" applyAlignment="0" applyProtection="0"/>
    <xf numFmtId="0" fontId="30" fillId="9" borderId="155" applyNumberFormat="0" applyAlignment="0" applyProtection="0"/>
    <xf numFmtId="0" fontId="30" fillId="9" borderId="155" applyNumberFormat="0" applyAlignment="0" applyProtection="0"/>
    <xf numFmtId="0" fontId="32" fillId="0" borderId="156" applyNumberFormat="0" applyFill="0" applyAlignment="0" applyProtection="0"/>
    <xf numFmtId="0" fontId="67" fillId="9" borderId="153" applyNumberFormat="0" applyAlignment="0" applyProtection="0">
      <alignment vertical="center"/>
    </xf>
    <xf numFmtId="0" fontId="48" fillId="6" borderId="154" applyNumberFormat="0" applyFont="0" applyAlignment="0" applyProtection="0">
      <alignment vertical="center"/>
    </xf>
    <xf numFmtId="0" fontId="77" fillId="4" borderId="153" applyNumberFormat="0" applyAlignment="0" applyProtection="0">
      <alignment vertical="center"/>
    </xf>
    <xf numFmtId="0" fontId="85" fillId="9" borderId="155" applyNumberFormat="0" applyAlignment="0" applyProtection="0">
      <alignment vertical="center"/>
    </xf>
    <xf numFmtId="0" fontId="27" fillId="4" borderId="153" applyNumberFormat="0" applyAlignment="0" applyProtection="0"/>
    <xf numFmtId="0" fontId="20" fillId="9" borderId="153" applyNumberFormat="0" applyAlignment="0" applyProtection="0"/>
    <xf numFmtId="0" fontId="20" fillId="9" borderId="153" applyNumberFormat="0" applyAlignment="0" applyProtection="0"/>
    <xf numFmtId="0" fontId="20" fillId="2" borderId="153" applyNumberFormat="0" applyAlignment="0" applyProtection="0"/>
    <xf numFmtId="0" fontId="20" fillId="9" borderId="153" applyNumberFormat="0" applyAlignment="0" applyProtection="0"/>
    <xf numFmtId="0" fontId="32" fillId="0" borderId="156" applyNumberFormat="0" applyFill="0" applyAlignment="0" applyProtection="0"/>
    <xf numFmtId="0" fontId="30" fillId="2" borderId="155" applyNumberFormat="0" applyAlignment="0" applyProtection="0"/>
    <xf numFmtId="0" fontId="14" fillId="6" borderId="154" applyNumberFormat="0" applyFont="0" applyAlignment="0" applyProtection="0"/>
    <xf numFmtId="0" fontId="27" fillId="4" borderId="153" applyNumberFormat="0" applyAlignment="0" applyProtection="0"/>
    <xf numFmtId="0" fontId="20" fillId="2" borderId="153" applyNumberFormat="0" applyAlignment="0" applyProtection="0"/>
    <xf numFmtId="0" fontId="85" fillId="9" borderId="155" applyNumberFormat="0" applyAlignment="0" applyProtection="0">
      <alignment vertical="center"/>
    </xf>
    <xf numFmtId="0" fontId="77" fillId="4" borderId="153" applyNumberFormat="0" applyAlignment="0" applyProtection="0">
      <alignment vertical="center"/>
    </xf>
    <xf numFmtId="0" fontId="76" fillId="0" borderId="157" applyNumberFormat="0" applyFill="0" applyAlignment="0" applyProtection="0">
      <alignment vertical="center"/>
    </xf>
    <xf numFmtId="0" fontId="48" fillId="6" borderId="154" applyNumberFormat="0" applyFont="0" applyAlignment="0" applyProtection="0">
      <alignment vertical="center"/>
    </xf>
    <xf numFmtId="0" fontId="67" fillId="9" borderId="153" applyNumberFormat="0" applyAlignment="0" applyProtection="0">
      <alignment vertical="center"/>
    </xf>
    <xf numFmtId="0" fontId="32" fillId="0" borderId="157" applyNumberFormat="0" applyFill="0" applyAlignment="0" applyProtection="0"/>
    <xf numFmtId="0" fontId="32" fillId="0" borderId="157" applyNumberFormat="0" applyFill="0" applyAlignment="0" applyProtection="0"/>
    <xf numFmtId="0" fontId="32" fillId="0" borderId="156" applyNumberFormat="0" applyFill="0" applyAlignment="0" applyProtection="0"/>
    <xf numFmtId="0" fontId="32" fillId="0" borderId="157" applyNumberFormat="0" applyFill="0" applyAlignment="0" applyProtection="0"/>
    <xf numFmtId="0" fontId="30" fillId="9" borderId="155" applyNumberFormat="0" applyAlignment="0" applyProtection="0"/>
    <xf numFmtId="0" fontId="30" fillId="9" borderId="155" applyNumberFormat="0" applyAlignment="0" applyProtection="0"/>
    <xf numFmtId="0" fontId="30" fillId="2" borderId="155" applyNumberFormat="0" applyAlignment="0" applyProtection="0"/>
    <xf numFmtId="0" fontId="30" fillId="9" borderId="155" applyNumberForma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20" fillId="9" borderId="153" applyNumberFormat="0" applyAlignment="0" applyProtection="0"/>
    <xf numFmtId="0" fontId="20" fillId="9" borderId="153" applyNumberFormat="0" applyAlignment="0" applyProtection="0"/>
    <xf numFmtId="0" fontId="20" fillId="2" borderId="153" applyNumberFormat="0" applyAlignment="0" applyProtection="0"/>
    <xf numFmtId="0" fontId="20" fillId="9" borderId="153" applyNumberFormat="0" applyAlignment="0" applyProtection="0"/>
    <xf numFmtId="0" fontId="32" fillId="0" borderId="157" applyNumberFormat="0" applyFill="0" applyAlignment="0" applyProtection="0"/>
    <xf numFmtId="0" fontId="32" fillId="0" borderId="157" applyNumberFormat="0" applyFill="0" applyAlignment="0" applyProtection="0"/>
    <xf numFmtId="0" fontId="32" fillId="0" borderId="157" applyNumberFormat="0" applyFill="0" applyAlignment="0" applyProtection="0"/>
    <xf numFmtId="0" fontId="32" fillId="0" borderId="156" applyNumberFormat="0" applyFill="0" applyAlignment="0" applyProtection="0"/>
    <xf numFmtId="0" fontId="30" fillId="2" borderId="155" applyNumberFormat="0" applyAlignment="0" applyProtection="0"/>
    <xf numFmtId="0" fontId="14" fillId="6" borderId="154" applyNumberFormat="0" applyFont="0" applyAlignment="0" applyProtection="0"/>
    <xf numFmtId="0" fontId="27" fillId="4" borderId="153" applyNumberFormat="0" applyAlignment="0" applyProtection="0"/>
    <xf numFmtId="0" fontId="76" fillId="0" borderId="157" applyNumberFormat="0" applyFill="0" applyAlignment="0" applyProtection="0">
      <alignment vertical="center"/>
    </xf>
    <xf numFmtId="0" fontId="20" fillId="2" borderId="153" applyNumberForma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48" fillId="6" borderId="154" applyNumberFormat="0" applyFont="0" applyAlignment="0" applyProtection="0">
      <alignment vertical="center"/>
    </xf>
    <xf numFmtId="0" fontId="27" fillId="4" borderId="153" applyNumberFormat="0" applyAlignment="0" applyProtection="0"/>
    <xf numFmtId="0" fontId="27" fillId="4" borderId="153" applyNumberFormat="0" applyAlignment="0" applyProtection="0"/>
    <xf numFmtId="0" fontId="27" fillId="4" borderId="153" applyNumberForma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14" fillId="6" borderId="154" applyNumberFormat="0" applyFont="0" applyAlignment="0" applyProtection="0"/>
    <xf numFmtId="0" fontId="30" fillId="9" borderId="155" applyNumberFormat="0" applyAlignment="0" applyProtection="0"/>
    <xf numFmtId="0" fontId="30" fillId="2" borderId="155" applyNumberFormat="0" applyAlignment="0" applyProtection="0"/>
    <xf numFmtId="0" fontId="30" fillId="9" borderId="155" applyNumberFormat="0" applyAlignment="0" applyProtection="0"/>
    <xf numFmtId="0" fontId="30" fillId="9" borderId="155" applyNumberFormat="0" applyAlignment="0" applyProtection="0"/>
    <xf numFmtId="0" fontId="32" fillId="0" borderId="156" applyNumberFormat="0" applyFill="0" applyAlignment="0" applyProtection="0"/>
    <xf numFmtId="0" fontId="67" fillId="9" borderId="153" applyNumberFormat="0" applyAlignment="0" applyProtection="0">
      <alignment vertical="center"/>
    </xf>
    <xf numFmtId="0" fontId="48" fillId="6" borderId="154" applyNumberFormat="0" applyFont="0" applyAlignment="0" applyProtection="0">
      <alignment vertical="center"/>
    </xf>
    <xf numFmtId="0" fontId="77" fillId="4" borderId="153" applyNumberFormat="0" applyAlignment="0" applyProtection="0">
      <alignment vertical="center"/>
    </xf>
    <xf numFmtId="0" fontId="85" fillId="9" borderId="155" applyNumberFormat="0" applyAlignment="0" applyProtection="0">
      <alignment vertical="center"/>
    </xf>
    <xf numFmtId="0" fontId="4" fillId="0" borderId="0"/>
    <xf numFmtId="0" fontId="40" fillId="0" borderId="152">
      <alignment horizontal="left" vertical="center"/>
    </xf>
    <xf numFmtId="0" fontId="4" fillId="0" borderId="0"/>
    <xf numFmtId="0" fontId="4" fillId="0" borderId="0"/>
    <xf numFmtId="0" fontId="4" fillId="0" borderId="0"/>
    <xf numFmtId="0" fontId="40" fillId="0" borderId="152">
      <alignment horizontal="left" vertical="center"/>
    </xf>
    <xf numFmtId="0" fontId="4" fillId="0" borderId="0"/>
    <xf numFmtId="0" fontId="4" fillId="0" borderId="0"/>
    <xf numFmtId="0" fontId="4" fillId="0" borderId="0"/>
    <xf numFmtId="0" fontId="40" fillId="0" borderId="152">
      <alignment horizontal="left" vertical="center"/>
    </xf>
    <xf numFmtId="0" fontId="40" fillId="0" borderId="152">
      <alignment horizontal="left" vertical="center"/>
    </xf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10" fontId="54" fillId="19" borderId="158" applyNumberFormat="0" applyBorder="0" applyAlignment="0" applyProtection="0"/>
    <xf numFmtId="0" fontId="4" fillId="0" borderId="0"/>
    <xf numFmtId="0" fontId="4" fillId="0" borderId="0"/>
    <xf numFmtId="0" fontId="4" fillId="0" borderId="0"/>
    <xf numFmtId="10" fontId="54" fillId="19" borderId="158" applyNumberFormat="0" applyBorder="0" applyAlignment="0" applyProtection="0"/>
    <xf numFmtId="0" fontId="4" fillId="0" borderId="0"/>
    <xf numFmtId="0" fontId="4" fillId="0" borderId="0"/>
    <xf numFmtId="0" fontId="113" fillId="0" borderId="0"/>
    <xf numFmtId="0" fontId="20" fillId="9" borderId="162" applyNumberFormat="0" applyAlignment="0" applyProtection="0"/>
    <xf numFmtId="0" fontId="20" fillId="2" borderId="159" applyNumberFormat="0" applyAlignment="0" applyProtection="0"/>
    <xf numFmtId="0" fontId="27" fillId="4" borderId="159" applyNumberFormat="0" applyAlignment="0" applyProtection="0"/>
    <xf numFmtId="0" fontId="3" fillId="0" borderId="0"/>
    <xf numFmtId="0" fontId="14" fillId="6" borderId="160" applyNumberFormat="0" applyFont="0" applyAlignment="0" applyProtection="0"/>
    <xf numFmtId="0" fontId="14" fillId="6" borderId="163" applyNumberFormat="0" applyFont="0" applyAlignment="0" applyProtection="0"/>
    <xf numFmtId="0" fontId="14" fillId="6" borderId="163" applyNumberFormat="0" applyFont="0" applyAlignment="0" applyProtection="0"/>
    <xf numFmtId="0" fontId="14" fillId="6" borderId="163" applyNumberFormat="0" applyFont="0" applyAlignment="0" applyProtection="0"/>
    <xf numFmtId="0" fontId="30" fillId="9" borderId="164" applyNumberFormat="0" applyAlignment="0" applyProtection="0"/>
    <xf numFmtId="0" fontId="30" fillId="2" borderId="164" applyNumberFormat="0" applyAlignment="0" applyProtection="0"/>
    <xf numFmtId="0" fontId="30" fillId="9" borderId="164" applyNumberFormat="0" applyAlignment="0" applyProtection="0"/>
    <xf numFmtId="0" fontId="30" fillId="9" borderId="164" applyNumberFormat="0" applyAlignment="0" applyProtection="0"/>
    <xf numFmtId="0" fontId="32" fillId="0" borderId="166" applyNumberFormat="0" applyFill="0" applyAlignment="0" applyProtection="0"/>
    <xf numFmtId="0" fontId="32" fillId="0" borderId="165" applyNumberFormat="0" applyFill="0" applyAlignment="0" applyProtection="0"/>
    <xf numFmtId="0" fontId="32" fillId="0" borderId="166" applyNumberFormat="0" applyFill="0" applyAlignment="0" applyProtection="0"/>
    <xf numFmtId="0" fontId="32" fillId="0" borderId="166" applyNumberFormat="0" applyFill="0" applyAlignment="0" applyProtection="0"/>
    <xf numFmtId="0" fontId="67" fillId="9" borderId="162" applyNumberFormat="0" applyAlignment="0" applyProtection="0">
      <alignment vertical="center"/>
    </xf>
    <xf numFmtId="0" fontId="48" fillId="6" borderId="163" applyNumberFormat="0" applyFont="0" applyAlignment="0" applyProtection="0">
      <alignment vertical="center"/>
    </xf>
    <xf numFmtId="0" fontId="76" fillId="0" borderId="166" applyNumberFormat="0" applyFill="0" applyAlignment="0" applyProtection="0">
      <alignment vertical="center"/>
    </xf>
    <xf numFmtId="0" fontId="77" fillId="4" borderId="162" applyNumberFormat="0" applyAlignment="0" applyProtection="0">
      <alignment vertical="center"/>
    </xf>
    <xf numFmtId="0" fontId="85" fillId="9" borderId="164" applyNumberFormat="0" applyAlignment="0" applyProtection="0">
      <alignment vertical="center"/>
    </xf>
    <xf numFmtId="0" fontId="20" fillId="2" borderId="162" applyNumberFormat="0" applyAlignment="0" applyProtection="0"/>
    <xf numFmtId="0" fontId="27" fillId="4" borderId="162" applyNumberFormat="0" applyAlignment="0" applyProtection="0"/>
    <xf numFmtId="0" fontId="14" fillId="6" borderId="163" applyNumberFormat="0" applyFont="0" applyAlignment="0" applyProtection="0"/>
    <xf numFmtId="0" fontId="30" fillId="2" borderId="164" applyNumberFormat="0" applyAlignment="0" applyProtection="0"/>
    <xf numFmtId="0" fontId="32" fillId="0" borderId="165" applyNumberFormat="0" applyFill="0" applyAlignment="0" applyProtection="0"/>
    <xf numFmtId="0" fontId="20" fillId="9" borderId="162" applyNumberFormat="0" applyAlignment="0" applyProtection="0"/>
    <xf numFmtId="0" fontId="20" fillId="2" borderId="162" applyNumberFormat="0" applyAlignment="0" applyProtection="0"/>
    <xf numFmtId="0" fontId="20" fillId="9" borderId="162" applyNumberFormat="0" applyAlignment="0" applyProtection="0"/>
    <xf numFmtId="0" fontId="20" fillId="9" borderId="162" applyNumberFormat="0" applyAlignment="0" applyProtection="0"/>
    <xf numFmtId="0" fontId="27" fillId="4" borderId="162" applyNumberFormat="0" applyAlignment="0" applyProtection="0"/>
    <xf numFmtId="0" fontId="85" fillId="9" borderId="164" applyNumberFormat="0" applyAlignment="0" applyProtection="0">
      <alignment vertical="center"/>
    </xf>
    <xf numFmtId="0" fontId="77" fillId="4" borderId="162" applyNumberFormat="0" applyAlignment="0" applyProtection="0">
      <alignment vertical="center"/>
    </xf>
    <xf numFmtId="0" fontId="48" fillId="6" borderId="163" applyNumberFormat="0" applyFont="0" applyAlignment="0" applyProtection="0">
      <alignment vertical="center"/>
    </xf>
    <xf numFmtId="0" fontId="67" fillId="9" borderId="162" applyNumberFormat="0" applyAlignment="0" applyProtection="0">
      <alignment vertical="center"/>
    </xf>
    <xf numFmtId="0" fontId="32" fillId="0" borderId="165" applyNumberFormat="0" applyFill="0" applyAlignment="0" applyProtection="0"/>
    <xf numFmtId="0" fontId="30" fillId="9" borderId="164" applyNumberFormat="0" applyAlignment="0" applyProtection="0"/>
    <xf numFmtId="0" fontId="30" fillId="9" borderId="164" applyNumberFormat="0" applyAlignment="0" applyProtection="0"/>
    <xf numFmtId="0" fontId="30" fillId="2" borderId="164" applyNumberFormat="0" applyAlignment="0" applyProtection="0"/>
    <xf numFmtId="0" fontId="30" fillId="9" borderId="164" applyNumberFormat="0" applyAlignment="0" applyProtection="0"/>
    <xf numFmtId="0" fontId="14" fillId="6" borderId="163" applyNumberFormat="0" applyFont="0" applyAlignment="0" applyProtection="0"/>
    <xf numFmtId="0" fontId="14" fillId="6" borderId="163" applyNumberFormat="0" applyFont="0" applyAlignment="0" applyProtection="0"/>
    <xf numFmtId="0" fontId="14" fillId="6" borderId="163" applyNumberFormat="0" applyFont="0" applyAlignment="0" applyProtection="0"/>
    <xf numFmtId="0" fontId="27" fillId="4" borderId="162" applyNumberFormat="0" applyAlignment="0" applyProtection="0"/>
    <xf numFmtId="0" fontId="27" fillId="4" borderId="162" applyNumberFormat="0" applyAlignment="0" applyProtection="0"/>
    <xf numFmtId="0" fontId="27" fillId="4" borderId="162" applyNumberFormat="0" applyAlignment="0" applyProtection="0"/>
    <xf numFmtId="0" fontId="27" fillId="4" borderId="162" applyNumberFormat="0" applyAlignment="0" applyProtection="0"/>
    <xf numFmtId="0" fontId="20" fillId="9" borderId="162" applyNumberFormat="0" applyAlignment="0" applyProtection="0"/>
    <xf numFmtId="0" fontId="20" fillId="9" borderId="162" applyNumberFormat="0" applyAlignment="0" applyProtection="0"/>
    <xf numFmtId="0" fontId="20" fillId="2" borderId="162" applyNumberFormat="0" applyAlignment="0" applyProtection="0"/>
    <xf numFmtId="0" fontId="20" fillId="9" borderId="162" applyNumberFormat="0" applyAlignment="0" applyProtection="0"/>
    <xf numFmtId="0" fontId="32" fillId="0" borderId="165" applyNumberFormat="0" applyFill="0" applyAlignment="0" applyProtection="0"/>
    <xf numFmtId="0" fontId="30" fillId="2" borderId="164" applyNumberFormat="0" applyAlignment="0" applyProtection="0"/>
    <xf numFmtId="0" fontId="14" fillId="6" borderId="163" applyNumberFormat="0" applyFont="0" applyAlignment="0" applyProtection="0"/>
    <xf numFmtId="0" fontId="27" fillId="4" borderId="162" applyNumberFormat="0" applyAlignment="0" applyProtection="0"/>
    <xf numFmtId="0" fontId="20" fillId="2" borderId="162" applyNumberFormat="0" applyAlignment="0" applyProtection="0"/>
    <xf numFmtId="0" fontId="85" fillId="9" borderId="164" applyNumberFormat="0" applyAlignment="0" applyProtection="0">
      <alignment vertical="center"/>
    </xf>
    <xf numFmtId="0" fontId="77" fillId="4" borderId="162" applyNumberFormat="0" applyAlignment="0" applyProtection="0">
      <alignment vertical="center"/>
    </xf>
    <xf numFmtId="0" fontId="76" fillId="0" borderId="166" applyNumberFormat="0" applyFill="0" applyAlignment="0" applyProtection="0">
      <alignment vertical="center"/>
    </xf>
    <xf numFmtId="0" fontId="48" fillId="6" borderId="163" applyNumberFormat="0" applyFont="0" applyAlignment="0" applyProtection="0">
      <alignment vertical="center"/>
    </xf>
    <xf numFmtId="0" fontId="67" fillId="9" borderId="162" applyNumberFormat="0" applyAlignment="0" applyProtection="0">
      <alignment vertical="center"/>
    </xf>
    <xf numFmtId="0" fontId="32" fillId="0" borderId="166" applyNumberFormat="0" applyFill="0" applyAlignment="0" applyProtection="0"/>
    <xf numFmtId="0" fontId="32" fillId="0" borderId="166" applyNumberFormat="0" applyFill="0" applyAlignment="0" applyProtection="0"/>
    <xf numFmtId="0" fontId="32" fillId="0" borderId="165" applyNumberFormat="0" applyFill="0" applyAlignment="0" applyProtection="0"/>
    <xf numFmtId="0" fontId="32" fillId="0" borderId="166" applyNumberFormat="0" applyFill="0" applyAlignment="0" applyProtection="0"/>
    <xf numFmtId="0" fontId="30" fillId="9" borderId="164" applyNumberFormat="0" applyAlignment="0" applyProtection="0"/>
    <xf numFmtId="0" fontId="30" fillId="9" borderId="164" applyNumberFormat="0" applyAlignment="0" applyProtection="0"/>
    <xf numFmtId="0" fontId="30" fillId="2" borderId="164" applyNumberFormat="0" applyAlignment="0" applyProtection="0"/>
    <xf numFmtId="0" fontId="30" fillId="9" borderId="164" applyNumberFormat="0" applyAlignment="0" applyProtection="0"/>
    <xf numFmtId="0" fontId="14" fillId="6" borderId="163" applyNumberFormat="0" applyFont="0" applyAlignment="0" applyProtection="0"/>
    <xf numFmtId="0" fontId="14" fillId="6" borderId="163" applyNumberFormat="0" applyFont="0" applyAlignment="0" applyProtection="0"/>
    <xf numFmtId="0" fontId="14" fillId="6" borderId="163" applyNumberFormat="0" applyFont="0" applyAlignment="0" applyProtection="0"/>
    <xf numFmtId="0" fontId="27" fillId="4" borderId="162" applyNumberFormat="0" applyAlignment="0" applyProtection="0"/>
    <xf numFmtId="0" fontId="27" fillId="4" borderId="162" applyNumberFormat="0" applyAlignment="0" applyProtection="0"/>
    <xf numFmtId="0" fontId="27" fillId="4" borderId="162" applyNumberFormat="0" applyAlignment="0" applyProtection="0"/>
    <xf numFmtId="0" fontId="27" fillId="4" borderId="162" applyNumberFormat="0" applyAlignment="0" applyProtection="0"/>
    <xf numFmtId="0" fontId="20" fillId="9" borderId="162" applyNumberFormat="0" applyAlignment="0" applyProtection="0"/>
    <xf numFmtId="0" fontId="20" fillId="2" borderId="162" applyNumberFormat="0" applyAlignment="0" applyProtection="0"/>
    <xf numFmtId="0" fontId="20" fillId="9" borderId="162" applyNumberFormat="0" applyAlignment="0" applyProtection="0"/>
    <xf numFmtId="0" fontId="20" fillId="9" borderId="159" applyNumberFormat="0" applyAlignment="0" applyProtection="0"/>
    <xf numFmtId="0" fontId="20" fillId="2" borderId="159" applyNumberFormat="0" applyAlignment="0" applyProtection="0"/>
    <xf numFmtId="0" fontId="20" fillId="9" borderId="159" applyNumberFormat="0" applyAlignment="0" applyProtection="0"/>
    <xf numFmtId="0" fontId="20" fillId="9" borderId="159" applyNumberFormat="0" applyAlignment="0" applyProtection="0"/>
    <xf numFmtId="0" fontId="27" fillId="4" borderId="159" applyNumberFormat="0" applyAlignment="0" applyProtection="0"/>
    <xf numFmtId="0" fontId="27" fillId="4" borderId="159" applyNumberFormat="0" applyAlignment="0" applyProtection="0"/>
    <xf numFmtId="0" fontId="27" fillId="4" borderId="159" applyNumberFormat="0" applyAlignment="0" applyProtection="0"/>
    <xf numFmtId="0" fontId="27" fillId="4" borderId="159" applyNumberFormat="0" applyAlignment="0" applyProtection="0"/>
    <xf numFmtId="0" fontId="3" fillId="0" borderId="0"/>
    <xf numFmtId="0" fontId="3" fillId="0" borderId="0"/>
    <xf numFmtId="0" fontId="14" fillId="6" borderId="160" applyNumberFormat="0" applyFont="0" applyAlignment="0" applyProtection="0"/>
    <xf numFmtId="0" fontId="14" fillId="6" borderId="160" applyNumberFormat="0" applyFont="0" applyAlignment="0" applyProtection="0"/>
    <xf numFmtId="0" fontId="14" fillId="6" borderId="160" applyNumberFormat="0" applyFont="0" applyAlignment="0" applyProtection="0"/>
    <xf numFmtId="0" fontId="67" fillId="9" borderId="159" applyNumberFormat="0" applyAlignment="0" applyProtection="0">
      <alignment vertical="center"/>
    </xf>
    <xf numFmtId="0" fontId="48" fillId="6" borderId="160" applyNumberFormat="0" applyFont="0" applyAlignment="0" applyProtection="0">
      <alignment vertical="center"/>
    </xf>
    <xf numFmtId="0" fontId="32" fillId="0" borderId="165" applyNumberFormat="0" applyFill="0" applyAlignment="0" applyProtection="0"/>
    <xf numFmtId="0" fontId="30" fillId="2" borderId="164" applyNumberFormat="0" applyAlignment="0" applyProtection="0"/>
    <xf numFmtId="0" fontId="14" fillId="6" borderId="163" applyNumberFormat="0" applyFont="0" applyAlignment="0" applyProtection="0"/>
    <xf numFmtId="0" fontId="27" fillId="4" borderId="162" applyNumberFormat="0" applyAlignment="0" applyProtection="0"/>
    <xf numFmtId="0" fontId="77" fillId="4" borderId="159" applyNumberFormat="0" applyAlignment="0" applyProtection="0">
      <alignment vertical="center"/>
    </xf>
    <xf numFmtId="0" fontId="20" fillId="2" borderId="162" applyNumberFormat="0" applyAlignment="0" applyProtection="0"/>
    <xf numFmtId="0" fontId="3" fillId="0" borderId="0"/>
    <xf numFmtId="0" fontId="14" fillId="6" borderId="160" applyNumberFormat="0" applyFont="0" applyAlignment="0" applyProtection="0"/>
    <xf numFmtId="0" fontId="3" fillId="0" borderId="0"/>
    <xf numFmtId="0" fontId="3" fillId="0" borderId="0"/>
    <xf numFmtId="0" fontId="14" fillId="6" borderId="160" applyNumberFormat="0" applyFont="0" applyAlignment="0" applyProtection="0"/>
    <xf numFmtId="0" fontId="14" fillId="6" borderId="160" applyNumberFormat="0" applyFont="0" applyAlignment="0" applyProtection="0"/>
    <xf numFmtId="0" fontId="14" fillId="6" borderId="160" applyNumberFormat="0" applyFont="0" applyAlignment="0" applyProtection="0"/>
    <xf numFmtId="0" fontId="48" fillId="6" borderId="160" applyNumberFormat="0" applyFont="0" applyAlignment="0" applyProtection="0">
      <alignment vertical="center"/>
    </xf>
    <xf numFmtId="0" fontId="3" fillId="0" borderId="0"/>
    <xf numFmtId="0" fontId="14" fillId="6" borderId="160" applyNumberFormat="0" applyFont="0" applyAlignment="0" applyProtection="0"/>
    <xf numFmtId="0" fontId="48" fillId="6" borderId="160" applyNumberFormat="0" applyFont="0" applyAlignment="0" applyProtection="0">
      <alignment vertical="center"/>
    </xf>
    <xf numFmtId="0" fontId="14" fillId="6" borderId="160" applyNumberFormat="0" applyFont="0" applyAlignment="0" applyProtection="0"/>
    <xf numFmtId="0" fontId="14" fillId="6" borderId="160" applyNumberFormat="0" applyFont="0" applyAlignment="0" applyProtection="0"/>
    <xf numFmtId="0" fontId="14" fillId="6" borderId="160" applyNumberFormat="0" applyFont="0" applyAlignment="0" applyProtection="0"/>
    <xf numFmtId="0" fontId="3" fillId="0" borderId="0"/>
    <xf numFmtId="0" fontId="3" fillId="0" borderId="0"/>
    <xf numFmtId="0" fontId="14" fillId="6" borderId="160" applyNumberFormat="0" applyFont="0" applyAlignment="0" applyProtection="0"/>
    <xf numFmtId="0" fontId="3" fillId="0" borderId="0"/>
    <xf numFmtId="0" fontId="14" fillId="6" borderId="160" applyNumberFormat="0" applyFont="0" applyAlignment="0" applyProtection="0"/>
    <xf numFmtId="0" fontId="3" fillId="0" borderId="0"/>
    <xf numFmtId="0" fontId="3" fillId="0" borderId="0"/>
    <xf numFmtId="0" fontId="14" fillId="6" borderId="160" applyNumberFormat="0" applyFont="0" applyAlignment="0" applyProtection="0"/>
    <xf numFmtId="0" fontId="14" fillId="6" borderId="160" applyNumberFormat="0" applyFont="0" applyAlignment="0" applyProtection="0"/>
    <xf numFmtId="0" fontId="14" fillId="6" borderId="160" applyNumberFormat="0" applyFont="0" applyAlignment="0" applyProtection="0"/>
    <xf numFmtId="0" fontId="48" fillId="6" borderId="160" applyNumberFormat="0" applyFont="0" applyAlignment="0" applyProtection="0">
      <alignment vertical="center"/>
    </xf>
    <xf numFmtId="0" fontId="14" fillId="6" borderId="160" applyNumberFormat="0" applyFont="0" applyAlignment="0" applyProtection="0"/>
    <xf numFmtId="0" fontId="14" fillId="6" borderId="160" applyNumberFormat="0" applyFont="0" applyAlignment="0" applyProtection="0"/>
    <xf numFmtId="0" fontId="14" fillId="6" borderId="160" applyNumberFormat="0" applyFont="0" applyAlignment="0" applyProtection="0"/>
    <xf numFmtId="0" fontId="48" fillId="6" borderId="160" applyNumberFormat="0" applyFont="0" applyAlignment="0" applyProtection="0">
      <alignment vertical="center"/>
    </xf>
    <xf numFmtId="0" fontId="3" fillId="0" borderId="0"/>
    <xf numFmtId="10" fontId="54" fillId="19" borderId="161" applyNumberFormat="0" applyBorder="0" applyAlignment="0" applyProtection="0"/>
    <xf numFmtId="0" fontId="3" fillId="0" borderId="0"/>
    <xf numFmtId="0" fontId="3" fillId="0" borderId="0"/>
    <xf numFmtId="0" fontId="3" fillId="0" borderId="0"/>
    <xf numFmtId="10" fontId="54" fillId="19" borderId="161" applyNumberFormat="0" applyBorder="0" applyAlignment="0" applyProtection="0"/>
    <xf numFmtId="0" fontId="3" fillId="0" borderId="0"/>
    <xf numFmtId="0" fontId="3" fillId="0" borderId="0"/>
    <xf numFmtId="0" fontId="114" fillId="0" borderId="0"/>
    <xf numFmtId="0" fontId="27" fillId="4" borderId="162" applyNumberFormat="0" applyAlignment="0" applyProtection="0"/>
    <xf numFmtId="0" fontId="27" fillId="4" borderId="162" applyNumberFormat="0" applyAlignment="0" applyProtection="0"/>
    <xf numFmtId="0" fontId="27" fillId="4" borderId="162" applyNumberFormat="0" applyAlignment="0" applyProtection="0"/>
    <xf numFmtId="0" fontId="27" fillId="4" borderId="162" applyNumberFormat="0" applyAlignment="0" applyProtection="0"/>
    <xf numFmtId="0" fontId="20" fillId="9" borderId="162" applyNumberFormat="0" applyAlignment="0" applyProtection="0"/>
    <xf numFmtId="0" fontId="20" fillId="9" borderId="162" applyNumberFormat="0" applyAlignment="0" applyProtection="0"/>
    <xf numFmtId="0" fontId="20" fillId="2" borderId="162" applyNumberFormat="0" applyAlignment="0" applyProtection="0"/>
    <xf numFmtId="0" fontId="20" fillId="9" borderId="162" applyNumberFormat="0" applyAlignment="0" applyProtection="0"/>
    <xf numFmtId="0" fontId="32" fillId="0" borderId="166" applyNumberFormat="0" applyFill="0" applyAlignment="0" applyProtection="0"/>
    <xf numFmtId="0" fontId="32" fillId="0" borderId="166" applyNumberFormat="0" applyFill="0" applyAlignment="0" applyProtection="0"/>
    <xf numFmtId="0" fontId="32" fillId="0" borderId="166" applyNumberFormat="0" applyFill="0" applyAlignment="0" applyProtection="0"/>
    <xf numFmtId="0" fontId="32" fillId="0" borderId="165" applyNumberFormat="0" applyFill="0" applyAlignment="0" applyProtection="0"/>
    <xf numFmtId="0" fontId="30" fillId="2" borderId="164" applyNumberFormat="0" applyAlignment="0" applyProtection="0"/>
    <xf numFmtId="0" fontId="14" fillId="6" borderId="163" applyNumberFormat="0" applyFont="0" applyAlignment="0" applyProtection="0"/>
    <xf numFmtId="0" fontId="27" fillId="4" borderId="162" applyNumberFormat="0" applyAlignment="0" applyProtection="0"/>
    <xf numFmtId="0" fontId="76" fillId="0" borderId="166" applyNumberFormat="0" applyFill="0" applyAlignment="0" applyProtection="0">
      <alignment vertical="center"/>
    </xf>
    <xf numFmtId="0" fontId="20" fillId="2" borderId="162" applyNumberFormat="0" applyAlignment="0" applyProtection="0"/>
    <xf numFmtId="0" fontId="14" fillId="6" borderId="163" applyNumberFormat="0" applyFont="0" applyAlignment="0" applyProtection="0"/>
    <xf numFmtId="0" fontId="14" fillId="6" borderId="163" applyNumberFormat="0" applyFont="0" applyAlignment="0" applyProtection="0"/>
    <xf numFmtId="0" fontId="14" fillId="6" borderId="163" applyNumberFormat="0" applyFont="0" applyAlignment="0" applyProtection="0"/>
    <xf numFmtId="0" fontId="14" fillId="6" borderId="163" applyNumberFormat="0" applyFont="0" applyAlignment="0" applyProtection="0"/>
    <xf numFmtId="0" fontId="48" fillId="6" borderId="163" applyNumberFormat="0" applyFont="0" applyAlignment="0" applyProtection="0">
      <alignment vertical="center"/>
    </xf>
    <xf numFmtId="0" fontId="27" fillId="4" borderId="162" applyNumberFormat="0" applyAlignment="0" applyProtection="0"/>
    <xf numFmtId="0" fontId="27" fillId="4" borderId="162" applyNumberFormat="0" applyAlignment="0" applyProtection="0"/>
    <xf numFmtId="0" fontId="27" fillId="4" borderId="162" applyNumberFormat="0" applyAlignment="0" applyProtection="0"/>
    <xf numFmtId="0" fontId="14" fillId="6" borderId="163" applyNumberFormat="0" applyFont="0" applyAlignment="0" applyProtection="0"/>
    <xf numFmtId="0" fontId="14" fillId="6" borderId="163" applyNumberFormat="0" applyFont="0" applyAlignment="0" applyProtection="0"/>
    <xf numFmtId="0" fontId="14" fillId="6" borderId="163" applyNumberFormat="0" applyFont="0" applyAlignment="0" applyProtection="0"/>
    <xf numFmtId="0" fontId="30" fillId="9" borderId="164" applyNumberFormat="0" applyAlignment="0" applyProtection="0"/>
    <xf numFmtId="0" fontId="30" fillId="2" borderId="164" applyNumberFormat="0" applyAlignment="0" applyProtection="0"/>
    <xf numFmtId="0" fontId="30" fillId="9" borderId="164" applyNumberFormat="0" applyAlignment="0" applyProtection="0"/>
    <xf numFmtId="0" fontId="30" fillId="9" borderId="164" applyNumberFormat="0" applyAlignment="0" applyProtection="0"/>
    <xf numFmtId="0" fontId="32" fillId="0" borderId="165" applyNumberFormat="0" applyFill="0" applyAlignment="0" applyProtection="0"/>
    <xf numFmtId="0" fontId="67" fillId="9" borderId="162" applyNumberFormat="0" applyAlignment="0" applyProtection="0">
      <alignment vertical="center"/>
    </xf>
    <xf numFmtId="0" fontId="48" fillId="6" borderId="163" applyNumberFormat="0" applyFont="0" applyAlignment="0" applyProtection="0">
      <alignment vertical="center"/>
    </xf>
    <xf numFmtId="0" fontId="77" fillId="4" borderId="162" applyNumberFormat="0" applyAlignment="0" applyProtection="0">
      <alignment vertical="center"/>
    </xf>
    <xf numFmtId="0" fontId="85" fillId="9" borderId="164" applyNumberFormat="0" applyAlignment="0" applyProtection="0">
      <alignment vertical="center"/>
    </xf>
    <xf numFmtId="10" fontId="54" fillId="19" borderId="167" applyNumberFormat="0" applyBorder="0" applyAlignment="0" applyProtection="0"/>
    <xf numFmtId="10" fontId="54" fillId="19" borderId="167" applyNumberFormat="0" applyBorder="0" applyAlignment="0" applyProtection="0"/>
    <xf numFmtId="0" fontId="20" fillId="2" borderId="180" applyNumberFormat="0" applyAlignment="0" applyProtection="0"/>
    <xf numFmtId="0" fontId="27" fillId="4" borderId="180" applyNumberFormat="0" applyAlignment="0" applyProtection="0"/>
    <xf numFmtId="0" fontId="2" fillId="0" borderId="0"/>
    <xf numFmtId="0" fontId="14" fillId="6" borderId="181" applyNumberFormat="0" applyFont="0" applyAlignment="0" applyProtection="0"/>
    <xf numFmtId="0" fontId="30" fillId="2" borderId="182" applyNumberFormat="0" applyAlignment="0" applyProtection="0"/>
    <xf numFmtId="0" fontId="32" fillId="0" borderId="183" applyNumberFormat="0" applyFill="0" applyAlignment="0" applyProtection="0"/>
    <xf numFmtId="0" fontId="20" fillId="9" borderId="180" applyNumberFormat="0" applyAlignment="0" applyProtection="0"/>
    <xf numFmtId="0" fontId="20" fillId="2" borderId="180" applyNumberFormat="0" applyAlignment="0" applyProtection="0"/>
    <xf numFmtId="0" fontId="20" fillId="9" borderId="180" applyNumberFormat="0" applyAlignment="0" applyProtection="0"/>
    <xf numFmtId="0" fontId="20" fillId="9" borderId="180" applyNumberFormat="0" applyAlignment="0" applyProtection="0"/>
    <xf numFmtId="0" fontId="40" fillId="0" borderId="169">
      <alignment horizontal="left" vertical="center"/>
    </xf>
    <xf numFmtId="0" fontId="27" fillId="4" borderId="180" applyNumberFormat="0" applyAlignment="0" applyProtection="0"/>
    <xf numFmtId="0" fontId="27" fillId="4" borderId="180" applyNumberFormat="0" applyAlignment="0" applyProtection="0"/>
    <xf numFmtId="0" fontId="27" fillId="4" borderId="180" applyNumberFormat="0" applyAlignment="0" applyProtection="0"/>
    <xf numFmtId="0" fontId="27" fillId="4" borderId="180" applyNumberFormat="0" applyAlignment="0" applyProtection="0"/>
    <xf numFmtId="0" fontId="2" fillId="0" borderId="0"/>
    <xf numFmtId="0" fontId="2" fillId="0" borderId="0"/>
    <xf numFmtId="0" fontId="14" fillId="6" borderId="181" applyNumberFormat="0" applyFont="0" applyAlignment="0" applyProtection="0"/>
    <xf numFmtId="0" fontId="14" fillId="6" borderId="181" applyNumberFormat="0" applyFont="0" applyAlignment="0" applyProtection="0"/>
    <xf numFmtId="0" fontId="14" fillId="6" borderId="181" applyNumberFormat="0" applyFont="0" applyAlignment="0" applyProtection="0"/>
    <xf numFmtId="0" fontId="30" fillId="9" borderId="182" applyNumberFormat="0" applyAlignment="0" applyProtection="0"/>
    <xf numFmtId="0" fontId="30" fillId="2" borderId="182" applyNumberFormat="0" applyAlignment="0" applyProtection="0"/>
    <xf numFmtId="0" fontId="30" fillId="9" borderId="182" applyNumberFormat="0" applyAlignment="0" applyProtection="0"/>
    <xf numFmtId="0" fontId="30" fillId="9" borderId="182" applyNumberFormat="0" applyAlignment="0" applyProtection="0"/>
    <xf numFmtId="0" fontId="32" fillId="0" borderId="184" applyNumberFormat="0" applyFill="0" applyAlignment="0" applyProtection="0"/>
    <xf numFmtId="0" fontId="32" fillId="0" borderId="183" applyNumberFormat="0" applyFill="0" applyAlignment="0" applyProtection="0"/>
    <xf numFmtId="0" fontId="32" fillId="0" borderId="184" applyNumberFormat="0" applyFill="0" applyAlignment="0" applyProtection="0"/>
    <xf numFmtId="0" fontId="32" fillId="0" borderId="184" applyNumberFormat="0" applyFill="0" applyAlignment="0" applyProtection="0"/>
    <xf numFmtId="0" fontId="67" fillId="9" borderId="180" applyNumberFormat="0" applyAlignment="0" applyProtection="0">
      <alignment vertical="center"/>
    </xf>
    <xf numFmtId="0" fontId="48" fillId="6" borderId="181" applyNumberFormat="0" applyFont="0" applyAlignment="0" applyProtection="0">
      <alignment vertical="center"/>
    </xf>
    <xf numFmtId="0" fontId="76" fillId="0" borderId="184" applyNumberFormat="0" applyFill="0" applyAlignment="0" applyProtection="0">
      <alignment vertical="center"/>
    </xf>
    <xf numFmtId="0" fontId="77" fillId="4" borderId="180" applyNumberFormat="0" applyAlignment="0" applyProtection="0">
      <alignment vertical="center"/>
    </xf>
    <xf numFmtId="0" fontId="85" fillId="9" borderId="182" applyNumberFormat="0" applyAlignment="0" applyProtection="0">
      <alignment vertical="center"/>
    </xf>
    <xf numFmtId="0" fontId="20" fillId="2" borderId="180" applyNumberFormat="0" applyAlignment="0" applyProtection="0"/>
    <xf numFmtId="0" fontId="27" fillId="4" borderId="180" applyNumberFormat="0" applyAlignment="0" applyProtection="0"/>
    <xf numFmtId="0" fontId="2" fillId="0" borderId="0"/>
    <xf numFmtId="0" fontId="14" fillId="6" borderId="181" applyNumberFormat="0" applyFont="0" applyAlignment="0" applyProtection="0"/>
    <xf numFmtId="0" fontId="30" fillId="2" borderId="182" applyNumberFormat="0" applyAlignment="0" applyProtection="0"/>
    <xf numFmtId="0" fontId="32" fillId="0" borderId="183" applyNumberFormat="0" applyFill="0" applyAlignment="0" applyProtection="0"/>
    <xf numFmtId="0" fontId="20" fillId="9" borderId="180" applyNumberFormat="0" applyAlignment="0" applyProtection="0"/>
    <xf numFmtId="0" fontId="20" fillId="2" borderId="180" applyNumberFormat="0" applyAlignment="0" applyProtection="0"/>
    <xf numFmtId="0" fontId="20" fillId="9" borderId="180" applyNumberFormat="0" applyAlignment="0" applyProtection="0"/>
    <xf numFmtId="0" fontId="20" fillId="9" borderId="180" applyNumberFormat="0" applyAlignment="0" applyProtection="0"/>
    <xf numFmtId="0" fontId="40" fillId="0" borderId="169">
      <alignment horizontal="left" vertical="center"/>
    </xf>
    <xf numFmtId="0" fontId="27" fillId="4" borderId="180" applyNumberFormat="0" applyAlignment="0" applyProtection="0"/>
    <xf numFmtId="0" fontId="27" fillId="4" borderId="180" applyNumberFormat="0" applyAlignment="0" applyProtection="0"/>
    <xf numFmtId="0" fontId="27" fillId="4" borderId="180" applyNumberFormat="0" applyAlignment="0" applyProtection="0"/>
    <xf numFmtId="0" fontId="27" fillId="4" borderId="180" applyNumberFormat="0" applyAlignment="0" applyProtection="0"/>
    <xf numFmtId="0" fontId="2" fillId="0" borderId="0"/>
    <xf numFmtId="0" fontId="2" fillId="0" borderId="0"/>
    <xf numFmtId="0" fontId="14" fillId="6" borderId="181" applyNumberFormat="0" applyFont="0" applyAlignment="0" applyProtection="0"/>
    <xf numFmtId="0" fontId="14" fillId="6" borderId="181" applyNumberFormat="0" applyFont="0" applyAlignment="0" applyProtection="0"/>
    <xf numFmtId="0" fontId="14" fillId="6" borderId="181" applyNumberFormat="0" applyFont="0" applyAlignment="0" applyProtection="0"/>
    <xf numFmtId="0" fontId="30" fillId="9" borderId="182" applyNumberFormat="0" applyAlignment="0" applyProtection="0"/>
    <xf numFmtId="0" fontId="30" fillId="2" borderId="182" applyNumberFormat="0" applyAlignment="0" applyProtection="0"/>
    <xf numFmtId="0" fontId="30" fillId="9" borderId="182" applyNumberFormat="0" applyAlignment="0" applyProtection="0"/>
    <xf numFmtId="0" fontId="30" fillId="9" borderId="182" applyNumberFormat="0" applyAlignment="0" applyProtection="0"/>
    <xf numFmtId="0" fontId="32" fillId="0" borderId="183" applyNumberFormat="0" applyFill="0" applyAlignment="0" applyProtection="0"/>
    <xf numFmtId="0" fontId="67" fillId="9" borderId="180" applyNumberFormat="0" applyAlignment="0" applyProtection="0">
      <alignment vertical="center"/>
    </xf>
    <xf numFmtId="0" fontId="48" fillId="6" borderId="181" applyNumberFormat="0" applyFont="0" applyAlignment="0" applyProtection="0">
      <alignment vertical="center"/>
    </xf>
    <xf numFmtId="0" fontId="77" fillId="4" borderId="180" applyNumberFormat="0" applyAlignment="0" applyProtection="0">
      <alignment vertical="center"/>
    </xf>
    <xf numFmtId="0" fontId="85" fillId="9" borderId="182" applyNumberFormat="0" applyAlignment="0" applyProtection="0">
      <alignment vertical="center"/>
    </xf>
    <xf numFmtId="0" fontId="2" fillId="0" borderId="0"/>
    <xf numFmtId="0" fontId="27" fillId="4" borderId="180" applyNumberFormat="0" applyAlignment="0" applyProtection="0"/>
    <xf numFmtId="0" fontId="40" fillId="0" borderId="169">
      <alignment horizontal="left" vertical="center"/>
    </xf>
    <xf numFmtId="0" fontId="20" fillId="9" borderId="180" applyNumberFormat="0" applyAlignment="0" applyProtection="0"/>
    <xf numFmtId="0" fontId="20" fillId="9" borderId="180" applyNumberFormat="0" applyAlignment="0" applyProtection="0"/>
    <xf numFmtId="0" fontId="20" fillId="2" borderId="180" applyNumberFormat="0" applyAlignment="0" applyProtection="0"/>
    <xf numFmtId="0" fontId="20" fillId="9" borderId="180" applyNumberFormat="0" applyAlignment="0" applyProtection="0"/>
    <xf numFmtId="0" fontId="32" fillId="0" borderId="183" applyNumberFormat="0" applyFill="0" applyAlignment="0" applyProtection="0"/>
    <xf numFmtId="0" fontId="30" fillId="2" borderId="182" applyNumberFormat="0" applyAlignment="0" applyProtection="0"/>
    <xf numFmtId="0" fontId="14" fillId="6" borderId="181" applyNumberFormat="0" applyFont="0" applyAlignment="0" applyProtection="0"/>
    <xf numFmtId="0" fontId="27" fillId="4" borderId="180" applyNumberFormat="0" applyAlignment="0" applyProtection="0"/>
    <xf numFmtId="0" fontId="20" fillId="2" borderId="180" applyNumberFormat="0" applyAlignment="0" applyProtection="0"/>
    <xf numFmtId="0" fontId="85" fillId="9" borderId="182" applyNumberFormat="0" applyAlignment="0" applyProtection="0">
      <alignment vertical="center"/>
    </xf>
    <xf numFmtId="0" fontId="77" fillId="4" borderId="180" applyNumberFormat="0" applyAlignment="0" applyProtection="0">
      <alignment vertical="center"/>
    </xf>
    <xf numFmtId="0" fontId="76" fillId="0" borderId="184" applyNumberFormat="0" applyFill="0" applyAlignment="0" applyProtection="0">
      <alignment vertical="center"/>
    </xf>
    <xf numFmtId="0" fontId="48" fillId="6" borderId="181" applyNumberFormat="0" applyFont="0" applyAlignment="0" applyProtection="0">
      <alignment vertical="center"/>
    </xf>
    <xf numFmtId="0" fontId="67" fillId="9" borderId="180" applyNumberFormat="0" applyAlignment="0" applyProtection="0">
      <alignment vertical="center"/>
    </xf>
    <xf numFmtId="0" fontId="32" fillId="0" borderId="184" applyNumberFormat="0" applyFill="0" applyAlignment="0" applyProtection="0"/>
    <xf numFmtId="0" fontId="32" fillId="0" borderId="184" applyNumberFormat="0" applyFill="0" applyAlignment="0" applyProtection="0"/>
    <xf numFmtId="0" fontId="32" fillId="0" borderId="183" applyNumberFormat="0" applyFill="0" applyAlignment="0" applyProtection="0"/>
    <xf numFmtId="0" fontId="32" fillId="0" borderId="184" applyNumberFormat="0" applyFill="0" applyAlignment="0" applyProtection="0"/>
    <xf numFmtId="0" fontId="30" fillId="9" borderId="182" applyNumberFormat="0" applyAlignment="0" applyProtection="0"/>
    <xf numFmtId="0" fontId="30" fillId="9" borderId="182" applyNumberFormat="0" applyAlignment="0" applyProtection="0"/>
    <xf numFmtId="0" fontId="30" fillId="2" borderId="182" applyNumberFormat="0" applyAlignment="0" applyProtection="0"/>
    <xf numFmtId="0" fontId="30" fillId="9" borderId="182" applyNumberFormat="0" applyAlignment="0" applyProtection="0"/>
    <xf numFmtId="0" fontId="14" fillId="6" borderId="181" applyNumberFormat="0" applyFont="0" applyAlignment="0" applyProtection="0"/>
    <xf numFmtId="0" fontId="14" fillId="6" borderId="181" applyNumberFormat="0" applyFont="0" applyAlignment="0" applyProtection="0"/>
    <xf numFmtId="0" fontId="14" fillId="6" borderId="181" applyNumberFormat="0" applyFont="0" applyAlignment="0" applyProtection="0"/>
    <xf numFmtId="0" fontId="27" fillId="4" borderId="180" applyNumberFormat="0" applyAlignment="0" applyProtection="0"/>
    <xf numFmtId="0" fontId="27" fillId="4" borderId="180" applyNumberFormat="0" applyAlignment="0" applyProtection="0"/>
    <xf numFmtId="0" fontId="27" fillId="4" borderId="180" applyNumberFormat="0" applyAlignment="0" applyProtection="0"/>
    <xf numFmtId="0" fontId="27" fillId="4" borderId="180" applyNumberFormat="0" applyAlignment="0" applyProtection="0"/>
    <xf numFmtId="0" fontId="40" fillId="0" borderId="169">
      <alignment horizontal="left" vertical="center"/>
    </xf>
    <xf numFmtId="0" fontId="20" fillId="9" borderId="180" applyNumberFormat="0" applyAlignment="0" applyProtection="0"/>
    <xf numFmtId="0" fontId="20" fillId="9" borderId="180" applyNumberFormat="0" applyAlignment="0" applyProtection="0"/>
    <xf numFmtId="0" fontId="20" fillId="2" borderId="180" applyNumberFormat="0" applyAlignment="0" applyProtection="0"/>
    <xf numFmtId="0" fontId="20" fillId="9" borderId="180" applyNumberFormat="0" applyAlignment="0" applyProtection="0"/>
    <xf numFmtId="0" fontId="2" fillId="0" borderId="0"/>
    <xf numFmtId="0" fontId="2" fillId="0" borderId="0"/>
    <xf numFmtId="0" fontId="32" fillId="0" borderId="184" applyNumberFormat="0" applyFill="0" applyAlignment="0" applyProtection="0"/>
    <xf numFmtId="0" fontId="32" fillId="0" borderId="184" applyNumberFormat="0" applyFill="0" applyAlignment="0" applyProtection="0"/>
    <xf numFmtId="0" fontId="32" fillId="0" borderId="184" applyNumberFormat="0" applyFill="0" applyAlignment="0" applyProtection="0"/>
    <xf numFmtId="0" fontId="32" fillId="0" borderId="183" applyNumberFormat="0" applyFill="0" applyAlignment="0" applyProtection="0"/>
    <xf numFmtId="0" fontId="30" fillId="2" borderId="182" applyNumberFormat="0" applyAlignment="0" applyProtection="0"/>
    <xf numFmtId="0" fontId="14" fillId="6" borderId="181" applyNumberFormat="0" applyFont="0" applyAlignment="0" applyProtection="0"/>
    <xf numFmtId="0" fontId="27" fillId="4" borderId="180" applyNumberFormat="0" applyAlignment="0" applyProtection="0"/>
    <xf numFmtId="0" fontId="76" fillId="0" borderId="184" applyNumberFormat="0" applyFill="0" applyAlignment="0" applyProtection="0">
      <alignment vertical="center"/>
    </xf>
    <xf numFmtId="0" fontId="20" fillId="2" borderId="180" applyNumberFormat="0" applyAlignment="0" applyProtection="0"/>
    <xf numFmtId="0" fontId="2" fillId="0" borderId="0"/>
    <xf numFmtId="0" fontId="14" fillId="6" borderId="181" applyNumberFormat="0" applyFont="0" applyAlignment="0" applyProtection="0"/>
    <xf numFmtId="0" fontId="2" fillId="0" borderId="0"/>
    <xf numFmtId="0" fontId="2" fillId="0" borderId="0"/>
    <xf numFmtId="0" fontId="14" fillId="6" borderId="181" applyNumberFormat="0" applyFont="0" applyAlignment="0" applyProtection="0"/>
    <xf numFmtId="0" fontId="14" fillId="6" borderId="181" applyNumberFormat="0" applyFont="0" applyAlignment="0" applyProtection="0"/>
    <xf numFmtId="0" fontId="14" fillId="6" borderId="181" applyNumberFormat="0" applyFont="0" applyAlignment="0" applyProtection="0"/>
    <xf numFmtId="0" fontId="48" fillId="6" borderId="181" applyNumberFormat="0" applyFont="0" applyAlignment="0" applyProtection="0">
      <alignment vertical="center"/>
    </xf>
    <xf numFmtId="0" fontId="27" fillId="4" borderId="180" applyNumberFormat="0" applyAlignment="0" applyProtection="0"/>
    <xf numFmtId="0" fontId="27" fillId="4" borderId="180" applyNumberFormat="0" applyAlignment="0" applyProtection="0"/>
    <xf numFmtId="0" fontId="27" fillId="4" borderId="180" applyNumberFormat="0" applyAlignment="0" applyProtection="0"/>
    <xf numFmtId="0" fontId="14" fillId="6" borderId="181" applyNumberFormat="0" applyFont="0" applyAlignment="0" applyProtection="0"/>
    <xf numFmtId="0" fontId="14" fillId="6" borderId="181" applyNumberFormat="0" applyFont="0" applyAlignment="0" applyProtection="0"/>
    <xf numFmtId="0" fontId="14" fillId="6" borderId="181" applyNumberFormat="0" applyFont="0" applyAlignment="0" applyProtection="0"/>
    <xf numFmtId="0" fontId="30" fillId="9" borderId="182" applyNumberFormat="0" applyAlignment="0" applyProtection="0"/>
    <xf numFmtId="0" fontId="30" fillId="2" borderId="182" applyNumberFormat="0" applyAlignment="0" applyProtection="0"/>
    <xf numFmtId="0" fontId="30" fillId="9" borderId="182" applyNumberFormat="0" applyAlignment="0" applyProtection="0"/>
    <xf numFmtId="0" fontId="30" fillId="9" borderId="182" applyNumberFormat="0" applyAlignment="0" applyProtection="0"/>
    <xf numFmtId="0" fontId="32" fillId="0" borderId="183" applyNumberFormat="0" applyFill="0" applyAlignment="0" applyProtection="0"/>
    <xf numFmtId="0" fontId="67" fillId="9" borderId="180" applyNumberFormat="0" applyAlignment="0" applyProtection="0">
      <alignment vertical="center"/>
    </xf>
    <xf numFmtId="0" fontId="48" fillId="6" borderId="181" applyNumberFormat="0" applyFont="0" applyAlignment="0" applyProtection="0">
      <alignment vertical="center"/>
    </xf>
    <xf numFmtId="0" fontId="77" fillId="4" borderId="180" applyNumberFormat="0" applyAlignment="0" applyProtection="0">
      <alignment vertical="center"/>
    </xf>
    <xf numFmtId="0" fontId="85" fillId="9" borderId="182" applyNumberFormat="0" applyAlignment="0" applyProtection="0">
      <alignment vertical="center"/>
    </xf>
    <xf numFmtId="0" fontId="2" fillId="0" borderId="0"/>
    <xf numFmtId="10" fontId="54" fillId="19" borderId="185" applyNumberFormat="0" applyBorder="0" applyAlignment="0" applyProtection="0"/>
    <xf numFmtId="0" fontId="2" fillId="0" borderId="0"/>
    <xf numFmtId="0" fontId="2" fillId="0" borderId="0"/>
    <xf numFmtId="0" fontId="2" fillId="0" borderId="0"/>
    <xf numFmtId="10" fontId="54" fillId="19" borderId="185" applyNumberFormat="0" applyBorder="0" applyAlignment="0" applyProtection="0"/>
    <xf numFmtId="0" fontId="2" fillId="0" borderId="0"/>
    <xf numFmtId="0" fontId="2" fillId="0" borderId="0"/>
    <xf numFmtId="0" fontId="30" fillId="2" borderId="202" applyNumberFormat="0" applyAlignment="0" applyProtection="0"/>
    <xf numFmtId="0" fontId="20" fillId="9" borderId="200" applyNumberFormat="0" applyAlignment="0" applyProtection="0"/>
    <xf numFmtId="0" fontId="20" fillId="2" borderId="214" applyNumberFormat="0" applyAlignment="0" applyProtection="0"/>
    <xf numFmtId="0" fontId="20" fillId="2" borderId="187" applyNumberFormat="0" applyAlignment="0" applyProtection="0"/>
    <xf numFmtId="0" fontId="85" fillId="9" borderId="209" applyNumberFormat="0" applyAlignment="0" applyProtection="0">
      <alignment vertical="center"/>
    </xf>
    <xf numFmtId="0" fontId="27" fillId="4" borderId="187" applyNumberFormat="0" applyAlignment="0" applyProtection="0"/>
    <xf numFmtId="0" fontId="27" fillId="4" borderId="200" applyNumberFormat="0" applyAlignment="0" applyProtection="0"/>
    <xf numFmtId="0" fontId="1" fillId="0" borderId="0"/>
    <xf numFmtId="0" fontId="14" fillId="6" borderId="188" applyNumberFormat="0" applyFont="0" applyAlignment="0" applyProtection="0"/>
    <xf numFmtId="0" fontId="30" fillId="2" borderId="189" applyNumberFormat="0" applyAlignment="0" applyProtection="0"/>
    <xf numFmtId="0" fontId="32" fillId="0" borderId="190" applyNumberFormat="0" applyFill="0" applyAlignment="0" applyProtection="0"/>
    <xf numFmtId="0" fontId="40" fillId="0" borderId="206">
      <alignment horizontal="left" vertical="center"/>
    </xf>
    <xf numFmtId="0" fontId="40" fillId="0" borderId="213">
      <alignment horizontal="left" vertical="center"/>
    </xf>
    <xf numFmtId="0" fontId="20" fillId="2" borderId="207" applyNumberFormat="0" applyAlignment="0" applyProtection="0"/>
    <xf numFmtId="0" fontId="85" fillId="9" borderId="195" applyNumberFormat="0" applyAlignment="0" applyProtection="0">
      <alignment vertical="center"/>
    </xf>
    <xf numFmtId="0" fontId="77" fillId="4" borderId="193" applyNumberFormat="0" applyAlignment="0" applyProtection="0">
      <alignment vertical="center"/>
    </xf>
    <xf numFmtId="0" fontId="48" fillId="6" borderId="194" applyNumberFormat="0" applyFont="0" applyAlignment="0" applyProtection="0">
      <alignment vertical="center"/>
    </xf>
    <xf numFmtId="0" fontId="67" fillId="9" borderId="193" applyNumberFormat="0" applyAlignment="0" applyProtection="0">
      <alignment vertical="center"/>
    </xf>
    <xf numFmtId="0" fontId="32" fillId="0" borderId="196" applyNumberFormat="0" applyFill="0" applyAlignment="0" applyProtection="0"/>
    <xf numFmtId="0" fontId="30" fillId="9" borderId="195" applyNumberFormat="0" applyAlignment="0" applyProtection="0"/>
    <xf numFmtId="0" fontId="30" fillId="9" borderId="195" applyNumberFormat="0" applyAlignment="0" applyProtection="0"/>
    <xf numFmtId="0" fontId="30" fillId="2" borderId="195" applyNumberFormat="0" applyAlignment="0" applyProtection="0"/>
    <xf numFmtId="0" fontId="30" fillId="9" borderId="195" applyNumberFormat="0" applyAlignment="0" applyProtection="0"/>
    <xf numFmtId="0" fontId="14" fillId="6" borderId="194" applyNumberFormat="0" applyFont="0" applyAlignment="0" applyProtection="0"/>
    <xf numFmtId="0" fontId="14" fillId="6" borderId="194" applyNumberFormat="0" applyFont="0" applyAlignment="0" applyProtection="0"/>
    <xf numFmtId="0" fontId="14" fillId="6" borderId="194" applyNumberFormat="0" applyFont="0" applyAlignment="0" applyProtection="0"/>
    <xf numFmtId="0" fontId="27" fillId="4" borderId="193" applyNumberFormat="0" applyAlignment="0" applyProtection="0"/>
    <xf numFmtId="0" fontId="27" fillId="4" borderId="193" applyNumberFormat="0" applyAlignment="0" applyProtection="0"/>
    <xf numFmtId="0" fontId="27" fillId="4" borderId="193" applyNumberFormat="0" applyAlignment="0" applyProtection="0"/>
    <xf numFmtId="0" fontId="27" fillId="4" borderId="193" applyNumberFormat="0" applyAlignment="0" applyProtection="0"/>
    <xf numFmtId="10" fontId="54" fillId="19" borderId="192" applyNumberFormat="0" applyBorder="0" applyAlignment="0" applyProtection="0"/>
    <xf numFmtId="0" fontId="40" fillId="0" borderId="197">
      <alignment horizontal="left" vertical="center"/>
    </xf>
    <xf numFmtId="0" fontId="20" fillId="9" borderId="193" applyNumberFormat="0" applyAlignment="0" applyProtection="0"/>
    <xf numFmtId="0" fontId="20" fillId="9" borderId="193" applyNumberFormat="0" applyAlignment="0" applyProtection="0"/>
    <xf numFmtId="0" fontId="20" fillId="2" borderId="193" applyNumberFormat="0" applyAlignment="0" applyProtection="0"/>
    <xf numFmtId="0" fontId="20" fillId="9" borderId="193" applyNumberFormat="0" applyAlignment="0" applyProtection="0"/>
    <xf numFmtId="0" fontId="32" fillId="0" borderId="196" applyNumberFormat="0" applyFill="0" applyAlignment="0" applyProtection="0"/>
    <xf numFmtId="0" fontId="30" fillId="2" borderId="195" applyNumberFormat="0" applyAlignment="0" applyProtection="0"/>
    <xf numFmtId="0" fontId="14" fillId="6" borderId="194" applyNumberFormat="0" applyFont="0" applyAlignment="0" applyProtection="0"/>
    <xf numFmtId="0" fontId="27" fillId="4" borderId="193" applyNumberFormat="0" applyAlignment="0" applyProtection="0"/>
    <xf numFmtId="0" fontId="20" fillId="2" borderId="193" applyNumberFormat="0" applyAlignment="0" applyProtection="0"/>
    <xf numFmtId="0" fontId="85" fillId="9" borderId="195" applyNumberFormat="0" applyAlignment="0" applyProtection="0">
      <alignment vertical="center"/>
    </xf>
    <xf numFmtId="0" fontId="77" fillId="4" borderId="193" applyNumberFormat="0" applyAlignment="0" applyProtection="0">
      <alignment vertical="center"/>
    </xf>
    <xf numFmtId="0" fontId="76" fillId="0" borderId="198" applyNumberFormat="0" applyFill="0" applyAlignment="0" applyProtection="0">
      <alignment vertical="center"/>
    </xf>
    <xf numFmtId="0" fontId="27" fillId="4" borderId="207" applyNumberFormat="0" applyAlignment="0" applyProtection="0"/>
    <xf numFmtId="0" fontId="30" fillId="2" borderId="209" applyNumberFormat="0" applyAlignment="0" applyProtection="0"/>
    <xf numFmtId="0" fontId="27" fillId="4" borderId="214" applyNumberFormat="0" applyAlignment="0" applyProtection="0"/>
    <xf numFmtId="0" fontId="77" fillId="4" borderId="207" applyNumberFormat="0" applyAlignment="0" applyProtection="0">
      <alignment vertical="center"/>
    </xf>
    <xf numFmtId="0" fontId="14" fillId="6" borderId="208" applyNumberFormat="0" applyFont="0" applyAlignment="0" applyProtection="0"/>
    <xf numFmtId="0" fontId="27" fillId="4" borderId="200" applyNumberFormat="0" applyAlignment="0" applyProtection="0"/>
    <xf numFmtId="0" fontId="27" fillId="4" borderId="200" applyNumberFormat="0" applyAlignment="0" applyProtection="0"/>
    <xf numFmtId="0" fontId="14" fillId="6" borderId="201" applyNumberFormat="0" applyFont="0" applyAlignment="0" applyProtection="0"/>
    <xf numFmtId="0" fontId="14" fillId="6" borderId="201" applyNumberFormat="0" applyFont="0" applyAlignment="0" applyProtection="0"/>
    <xf numFmtId="0" fontId="14" fillId="6" borderId="201" applyNumberFormat="0" applyFont="0" applyAlignment="0" applyProtection="0"/>
    <xf numFmtId="0" fontId="30" fillId="9" borderId="202" applyNumberFormat="0" applyAlignment="0" applyProtection="0"/>
    <xf numFmtId="0" fontId="48" fillId="6" borderId="194" applyNumberFormat="0" applyFont="0" applyAlignment="0" applyProtection="0">
      <alignment vertical="center"/>
    </xf>
    <xf numFmtId="0" fontId="30" fillId="9" borderId="202" applyNumberFormat="0" applyAlignment="0" applyProtection="0"/>
    <xf numFmtId="0" fontId="32" fillId="0" borderId="204" applyNumberFormat="0" applyFill="0" applyAlignment="0" applyProtection="0"/>
    <xf numFmtId="0" fontId="32" fillId="0" borderId="203" applyNumberFormat="0" applyFill="0" applyAlignment="0" applyProtection="0"/>
    <xf numFmtId="0" fontId="67" fillId="9" borderId="193" applyNumberFormat="0" applyAlignment="0" applyProtection="0">
      <alignment vertical="center"/>
    </xf>
    <xf numFmtId="0" fontId="67" fillId="9" borderId="200" applyNumberFormat="0" applyAlignment="0" applyProtection="0">
      <alignment vertical="center"/>
    </xf>
    <xf numFmtId="0" fontId="48" fillId="6" borderId="201" applyNumberFormat="0" applyFont="0" applyAlignment="0" applyProtection="0">
      <alignment vertical="center"/>
    </xf>
    <xf numFmtId="0" fontId="76" fillId="0" borderId="204" applyNumberFormat="0" applyFill="0" applyAlignment="0" applyProtection="0">
      <alignment vertical="center"/>
    </xf>
    <xf numFmtId="0" fontId="77" fillId="4" borderId="200" applyNumberFormat="0" applyAlignment="0" applyProtection="0">
      <alignment vertical="center"/>
    </xf>
    <xf numFmtId="0" fontId="85" fillId="9" borderId="202" applyNumberFormat="0" applyAlignment="0" applyProtection="0">
      <alignment vertical="center"/>
    </xf>
    <xf numFmtId="0" fontId="20" fillId="2" borderId="200" applyNumberFormat="0" applyAlignment="0" applyProtection="0"/>
    <xf numFmtId="0" fontId="27" fillId="4" borderId="200" applyNumberFormat="0" applyAlignment="0" applyProtection="0"/>
    <xf numFmtId="0" fontId="14" fillId="6" borderId="201" applyNumberFormat="0" applyFont="0" applyAlignment="0" applyProtection="0"/>
    <xf numFmtId="0" fontId="30" fillId="2" borderId="202" applyNumberFormat="0" applyAlignment="0" applyProtection="0"/>
    <xf numFmtId="0" fontId="32" fillId="0" borderId="203" applyNumberFormat="0" applyFill="0" applyAlignment="0" applyProtection="0"/>
    <xf numFmtId="0" fontId="32" fillId="0" borderId="198" applyNumberFormat="0" applyFill="0" applyAlignment="0" applyProtection="0"/>
    <xf numFmtId="0" fontId="32" fillId="0" borderId="198" applyNumberFormat="0" applyFill="0" applyAlignment="0" applyProtection="0"/>
    <xf numFmtId="0" fontId="32" fillId="0" borderId="196" applyNumberFormat="0" applyFill="0" applyAlignment="0" applyProtection="0"/>
    <xf numFmtId="0" fontId="32" fillId="0" borderId="198" applyNumberFormat="0" applyFill="0" applyAlignment="0" applyProtection="0"/>
    <xf numFmtId="0" fontId="67" fillId="9" borderId="200" applyNumberFormat="0" applyAlignment="0" applyProtection="0">
      <alignment vertical="center"/>
    </xf>
    <xf numFmtId="0" fontId="32" fillId="0" borderId="203" applyNumberFormat="0" applyFill="0" applyAlignment="0" applyProtection="0"/>
    <xf numFmtId="0" fontId="30" fillId="9" borderId="202" applyNumberFormat="0" applyAlignment="0" applyProtection="0"/>
    <xf numFmtId="0" fontId="30" fillId="9" borderId="202" applyNumberFormat="0" applyAlignment="0" applyProtection="0"/>
    <xf numFmtId="0" fontId="30" fillId="9" borderId="202" applyNumberFormat="0" applyAlignment="0" applyProtection="0"/>
    <xf numFmtId="0" fontId="14" fillId="6" borderId="201" applyNumberFormat="0" applyFont="0" applyAlignment="0" applyProtection="0"/>
    <xf numFmtId="0" fontId="14" fillId="6" borderId="201" applyNumberFormat="0" applyFont="0" applyAlignment="0" applyProtection="0"/>
    <xf numFmtId="0" fontId="14" fillId="6" borderId="201" applyNumberFormat="0" applyFont="0" applyAlignment="0" applyProtection="0"/>
    <xf numFmtId="0" fontId="27" fillId="4" borderId="200" applyNumberFormat="0" applyAlignment="0" applyProtection="0"/>
    <xf numFmtId="0" fontId="27" fillId="4" borderId="200" applyNumberFormat="0" applyAlignment="0" applyProtection="0"/>
    <xf numFmtId="0" fontId="27" fillId="4" borderId="200" applyNumberFormat="0" applyAlignment="0" applyProtection="0"/>
    <xf numFmtId="0" fontId="27" fillId="4" borderId="200" applyNumberFormat="0" applyAlignment="0" applyProtection="0"/>
    <xf numFmtId="0" fontId="30" fillId="9" borderId="216" applyNumberFormat="0" applyAlignment="0" applyProtection="0"/>
    <xf numFmtId="0" fontId="20" fillId="9" borderId="200" applyNumberFormat="0" applyAlignment="0" applyProtection="0"/>
    <xf numFmtId="0" fontId="32" fillId="0" borderId="203" applyNumberFormat="0" applyFill="0" applyAlignment="0" applyProtection="0"/>
    <xf numFmtId="0" fontId="30" fillId="2" borderId="202" applyNumberFormat="0" applyAlignment="0" applyProtection="0"/>
    <xf numFmtId="0" fontId="30" fillId="9" borderId="195" applyNumberFormat="0" applyAlignment="0" applyProtection="0"/>
    <xf numFmtId="0" fontId="30" fillId="9" borderId="195" applyNumberFormat="0" applyAlignment="0" applyProtection="0"/>
    <xf numFmtId="0" fontId="30" fillId="2" borderId="195" applyNumberFormat="0" applyAlignment="0" applyProtection="0"/>
    <xf numFmtId="0" fontId="30" fillId="9" borderId="195" applyNumberFormat="0" applyAlignment="0" applyProtection="0"/>
    <xf numFmtId="0" fontId="14" fillId="6" borderId="194" applyNumberFormat="0" applyFont="0" applyAlignment="0" applyProtection="0"/>
    <xf numFmtId="0" fontId="14" fillId="6" borderId="194" applyNumberFormat="0" applyFont="0" applyAlignment="0" applyProtection="0"/>
    <xf numFmtId="0" fontId="14" fillId="6" borderId="194" applyNumberFormat="0" applyFont="0" applyAlignment="0" applyProtection="0"/>
    <xf numFmtId="0" fontId="85" fillId="9" borderId="202" applyNumberFormat="0" applyAlignment="0" applyProtection="0">
      <alignment vertical="center"/>
    </xf>
    <xf numFmtId="0" fontId="77" fillId="4" borderId="200" applyNumberFormat="0" applyAlignment="0" applyProtection="0">
      <alignment vertical="center"/>
    </xf>
    <xf numFmtId="0" fontId="27" fillId="4" borderId="207" applyNumberFormat="0" applyAlignment="0" applyProtection="0"/>
    <xf numFmtId="0" fontId="32" fillId="0" borderId="210" applyNumberFormat="0" applyFill="0" applyAlignment="0" applyProtection="0"/>
    <xf numFmtId="0" fontId="27" fillId="4" borderId="193" applyNumberFormat="0" applyAlignment="0" applyProtection="0"/>
    <xf numFmtId="0" fontId="27" fillId="4" borderId="193" applyNumberFormat="0" applyAlignment="0" applyProtection="0"/>
    <xf numFmtId="0" fontId="27" fillId="4" borderId="193" applyNumberFormat="0" applyAlignment="0" applyProtection="0"/>
    <xf numFmtId="0" fontId="27" fillId="4" borderId="193" applyNumberFormat="0" applyAlignment="0" applyProtection="0"/>
    <xf numFmtId="10" fontId="54" fillId="19" borderId="192" applyNumberFormat="0" applyBorder="0" applyAlignment="0" applyProtection="0"/>
    <xf numFmtId="0" fontId="77" fillId="4" borderId="214" applyNumberFormat="0" applyAlignment="0" applyProtection="0">
      <alignment vertical="center"/>
    </xf>
    <xf numFmtId="0" fontId="30" fillId="9" borderId="202" applyNumberFormat="0" applyAlignment="0" applyProtection="0"/>
    <xf numFmtId="0" fontId="30" fillId="9" borderId="202" applyNumberFormat="0" applyAlignment="0" applyProtection="0"/>
    <xf numFmtId="0" fontId="30" fillId="2" borderId="202" applyNumberFormat="0" applyAlignment="0" applyProtection="0"/>
    <xf numFmtId="0" fontId="14" fillId="6" borderId="201" applyNumberFormat="0" applyFont="0" applyAlignment="0" applyProtection="0"/>
    <xf numFmtId="0" fontId="14" fillId="6" borderId="201" applyNumberFormat="0" applyFont="0" applyAlignment="0" applyProtection="0"/>
    <xf numFmtId="0" fontId="40" fillId="0" borderId="197">
      <alignment horizontal="left" vertical="center"/>
    </xf>
    <xf numFmtId="0" fontId="48" fillId="6" borderId="215" applyNumberFormat="0" applyFont="0" applyAlignment="0" applyProtection="0">
      <alignment vertical="center"/>
    </xf>
    <xf numFmtId="0" fontId="67" fillId="9" borderId="214" applyNumberFormat="0" applyAlignment="0" applyProtection="0">
      <alignment vertical="center"/>
    </xf>
    <xf numFmtId="0" fontId="27" fillId="4" borderId="200" applyNumberFormat="0" applyAlignment="0" applyProtection="0"/>
    <xf numFmtId="0" fontId="27" fillId="4" borderId="200" applyNumberFormat="0" applyAlignment="0" applyProtection="0"/>
    <xf numFmtId="0" fontId="27" fillId="4" borderId="200" applyNumberFormat="0" applyAlignment="0" applyProtection="0"/>
    <xf numFmtId="0" fontId="30" fillId="2" borderId="216" applyNumberFormat="0" applyAlignment="0" applyProtection="0"/>
    <xf numFmtId="0" fontId="30" fillId="9" borderId="216" applyNumberFormat="0" applyAlignment="0" applyProtection="0"/>
    <xf numFmtId="0" fontId="14" fillId="6" borderId="215" applyNumberFormat="0" applyFont="0" applyAlignment="0" applyProtection="0"/>
    <xf numFmtId="0" fontId="14" fillId="6" borderId="215" applyNumberFormat="0" applyFont="0" applyAlignment="0" applyProtection="0"/>
    <xf numFmtId="0" fontId="14" fillId="6" borderId="215" applyNumberFormat="0" applyFont="0" applyAlignment="0" applyProtection="0"/>
    <xf numFmtId="0" fontId="27" fillId="4" borderId="214" applyNumberFormat="0" applyAlignment="0" applyProtection="0"/>
    <xf numFmtId="0" fontId="27" fillId="4" borderId="214" applyNumberFormat="0" applyAlignment="0" applyProtection="0"/>
    <xf numFmtId="0" fontId="27" fillId="4" borderId="214" applyNumberFormat="0" applyAlignment="0" applyProtection="0"/>
    <xf numFmtId="0" fontId="20" fillId="9" borderId="193" applyNumberFormat="0" applyAlignment="0" applyProtection="0"/>
    <xf numFmtId="0" fontId="20" fillId="9" borderId="193" applyNumberFormat="0" applyAlignment="0" applyProtection="0"/>
    <xf numFmtId="0" fontId="20" fillId="2" borderId="193" applyNumberFormat="0" applyAlignment="0" applyProtection="0"/>
    <xf numFmtId="0" fontId="20" fillId="9" borderId="193" applyNumberFormat="0" applyAlignment="0" applyProtection="0"/>
    <xf numFmtId="0" fontId="20" fillId="9" borderId="200" applyNumberFormat="0" applyAlignment="0" applyProtection="0"/>
    <xf numFmtId="0" fontId="20" fillId="2" borderId="200" applyNumberFormat="0" applyAlignment="0" applyProtection="0"/>
    <xf numFmtId="0" fontId="20" fillId="9" borderId="214" applyNumberFormat="0" applyAlignment="0" applyProtection="0"/>
    <xf numFmtId="0" fontId="20" fillId="9" borderId="214" applyNumberFormat="0" applyAlignment="0" applyProtection="0"/>
    <xf numFmtId="0" fontId="20" fillId="9" borderId="207" applyNumberFormat="0" applyAlignment="0" applyProtection="0"/>
    <xf numFmtId="0" fontId="20" fillId="2" borderId="207" applyNumberFormat="0" applyAlignment="0" applyProtection="0"/>
    <xf numFmtId="0" fontId="20" fillId="9" borderId="207" applyNumberFormat="0" applyAlignment="0" applyProtection="0"/>
    <xf numFmtId="0" fontId="20" fillId="9" borderId="187" applyNumberFormat="0" applyAlignment="0" applyProtection="0"/>
    <xf numFmtId="0" fontId="20" fillId="2" borderId="187" applyNumberFormat="0" applyAlignment="0" applyProtection="0"/>
    <xf numFmtId="0" fontId="20" fillId="9" borderId="187" applyNumberFormat="0" applyAlignment="0" applyProtection="0"/>
    <xf numFmtId="0" fontId="20" fillId="9" borderId="187" applyNumberFormat="0" applyAlignment="0" applyProtection="0"/>
    <xf numFmtId="0" fontId="27" fillId="4" borderId="207" applyNumberFormat="0" applyAlignment="0" applyProtection="0"/>
    <xf numFmtId="0" fontId="14" fillId="6" borderId="208" applyNumberFormat="0" applyFont="0" applyAlignment="0" applyProtection="0"/>
    <xf numFmtId="0" fontId="14" fillId="6" borderId="208" applyNumberFormat="0" applyFont="0" applyAlignment="0" applyProtection="0"/>
    <xf numFmtId="0" fontId="30" fillId="9" borderId="209" applyNumberFormat="0" applyAlignment="0" applyProtection="0"/>
    <xf numFmtId="0" fontId="32" fillId="0" borderId="211" applyNumberFormat="0" applyFill="0" applyAlignment="0" applyProtection="0"/>
    <xf numFmtId="0" fontId="32" fillId="0" borderId="211" applyNumberFormat="0" applyFill="0" applyAlignment="0" applyProtection="0"/>
    <xf numFmtId="0" fontId="48" fillId="6" borderId="208" applyNumberFormat="0" applyFont="0" applyAlignment="0" applyProtection="0">
      <alignment vertical="center"/>
    </xf>
    <xf numFmtId="0" fontId="30" fillId="2" borderId="216" applyNumberFormat="0" applyAlignment="0" applyProtection="0"/>
    <xf numFmtId="0" fontId="40" fillId="0" borderId="186">
      <alignment horizontal="left" vertical="center"/>
    </xf>
    <xf numFmtId="0" fontId="20" fillId="2" borderId="214" applyNumberFormat="0" applyAlignment="0" applyProtection="0"/>
    <xf numFmtId="0" fontId="76" fillId="0" borderId="211" applyNumberFormat="0" applyFill="0" applyAlignment="0" applyProtection="0">
      <alignment vertical="center"/>
    </xf>
    <xf numFmtId="0" fontId="27" fillId="4" borderId="187" applyNumberFormat="0" applyAlignment="0" applyProtection="0"/>
    <xf numFmtId="0" fontId="27" fillId="4" borderId="187" applyNumberFormat="0" applyAlignment="0" applyProtection="0"/>
    <xf numFmtId="0" fontId="27" fillId="4" borderId="187" applyNumberFormat="0" applyAlignment="0" applyProtection="0"/>
    <xf numFmtId="0" fontId="27" fillId="4" borderId="187" applyNumberFormat="0" applyAlignment="0" applyProtection="0"/>
    <xf numFmtId="0" fontId="32" fillId="0" borderId="203" applyNumberFormat="0" applyFill="0" applyAlignment="0" applyProtection="0"/>
    <xf numFmtId="0" fontId="14" fillId="6" borderId="201" applyNumberFormat="0" applyFont="0" applyAlignment="0" applyProtection="0"/>
    <xf numFmtId="0" fontId="32" fillId="0" borderId="218" applyNumberFormat="0" applyFill="0" applyAlignment="0" applyProtection="0"/>
    <xf numFmtId="0" fontId="27" fillId="4" borderId="214" applyNumberFormat="0" applyAlignment="0" applyProtection="0"/>
    <xf numFmtId="0" fontId="1" fillId="0" borderId="0"/>
    <xf numFmtId="0" fontId="20" fillId="2" borderId="200" applyNumberFormat="0" applyAlignment="0" applyProtection="0"/>
    <xf numFmtId="0" fontId="1" fillId="0" borderId="0"/>
    <xf numFmtId="0" fontId="20" fillId="9" borderId="214" applyNumberFormat="0" applyAlignment="0" applyProtection="0"/>
    <xf numFmtId="0" fontId="14" fillId="6" borderId="188" applyNumberFormat="0" applyFont="0" applyAlignment="0" applyProtection="0"/>
    <xf numFmtId="0" fontId="14" fillId="6" borderId="188" applyNumberFormat="0" applyFont="0" applyAlignment="0" applyProtection="0"/>
    <xf numFmtId="0" fontId="14" fillId="6" borderId="188" applyNumberFormat="0" applyFont="0" applyAlignment="0" applyProtection="0"/>
    <xf numFmtId="0" fontId="30" fillId="9" borderId="189" applyNumberFormat="0" applyAlignment="0" applyProtection="0"/>
    <xf numFmtId="0" fontId="30" fillId="2" borderId="189" applyNumberFormat="0" applyAlignment="0" applyProtection="0"/>
    <xf numFmtId="0" fontId="30" fillId="9" borderId="189" applyNumberFormat="0" applyAlignment="0" applyProtection="0"/>
    <xf numFmtId="0" fontId="30" fillId="9" borderId="189" applyNumberFormat="0" applyAlignment="0" applyProtection="0"/>
    <xf numFmtId="0" fontId="27" fillId="4" borderId="207" applyNumberFormat="0" applyAlignment="0" applyProtection="0"/>
    <xf numFmtId="0" fontId="32" fillId="0" borderId="191" applyNumberFormat="0" applyFill="0" applyAlignment="0" applyProtection="0"/>
    <xf numFmtId="0" fontId="32" fillId="0" borderId="190" applyNumberFormat="0" applyFill="0" applyAlignment="0" applyProtection="0"/>
    <xf numFmtId="0" fontId="32" fillId="0" borderId="191" applyNumberFormat="0" applyFill="0" applyAlignment="0" applyProtection="0"/>
    <xf numFmtId="0" fontId="32" fillId="0" borderId="191" applyNumberFormat="0" applyFill="0" applyAlignment="0" applyProtection="0"/>
    <xf numFmtId="0" fontId="20" fillId="9" borderId="193" applyNumberFormat="0" applyAlignment="0" applyProtection="0"/>
    <xf numFmtId="0" fontId="20" fillId="9" borderId="193" applyNumberFormat="0" applyAlignment="0" applyProtection="0"/>
    <xf numFmtId="0" fontId="20" fillId="2" borderId="193" applyNumberFormat="0" applyAlignment="0" applyProtection="0"/>
    <xf numFmtId="0" fontId="20" fillId="9" borderId="193" applyNumberFormat="0" applyAlignment="0" applyProtection="0"/>
    <xf numFmtId="0" fontId="32" fillId="0" borderId="196" applyNumberFormat="0" applyFill="0" applyAlignment="0" applyProtection="0"/>
    <xf numFmtId="0" fontId="30" fillId="2" borderId="195" applyNumberFormat="0" applyAlignment="0" applyProtection="0"/>
    <xf numFmtId="0" fontId="14" fillId="6" borderId="194" applyNumberFormat="0" applyFont="0" applyAlignment="0" applyProtection="0"/>
    <xf numFmtId="0" fontId="27" fillId="4" borderId="193" applyNumberFormat="0" applyAlignment="0" applyProtection="0"/>
    <xf numFmtId="0" fontId="20" fillId="2" borderId="193" applyNumberFormat="0" applyAlignment="0" applyProtection="0"/>
    <xf numFmtId="0" fontId="67" fillId="9" borderId="187" applyNumberFormat="0" applyAlignment="0" applyProtection="0">
      <alignment vertical="center"/>
    </xf>
    <xf numFmtId="0" fontId="76" fillId="0" borderId="198" applyNumberFormat="0" applyFill="0" applyAlignment="0" applyProtection="0">
      <alignment vertical="center"/>
    </xf>
    <xf numFmtId="0" fontId="48" fillId="6" borderId="194" applyNumberFormat="0" applyFont="0" applyAlignment="0" applyProtection="0">
      <alignment vertical="center"/>
    </xf>
    <xf numFmtId="0" fontId="67" fillId="9" borderId="193" applyNumberFormat="0" applyAlignment="0" applyProtection="0">
      <alignment vertical="center"/>
    </xf>
    <xf numFmtId="0" fontId="48" fillId="6" borderId="188" applyNumberFormat="0" applyFont="0" applyAlignment="0" applyProtection="0">
      <alignment vertical="center"/>
    </xf>
    <xf numFmtId="0" fontId="32" fillId="0" borderId="196" applyNumberFormat="0" applyFill="0" applyAlignment="0" applyProtection="0"/>
    <xf numFmtId="0" fontId="32" fillId="0" borderId="198" applyNumberFormat="0" applyFill="0" applyAlignment="0" applyProtection="0"/>
    <xf numFmtId="0" fontId="30" fillId="9" borderId="195" applyNumberFormat="0" applyAlignment="0" applyProtection="0"/>
    <xf numFmtId="0" fontId="30" fillId="9" borderId="195" applyNumberFormat="0" applyAlignment="0" applyProtection="0"/>
    <xf numFmtId="0" fontId="30" fillId="2" borderId="195" applyNumberFormat="0" applyAlignment="0" applyProtection="0"/>
    <xf numFmtId="0" fontId="30" fillId="9" borderId="195" applyNumberFormat="0" applyAlignment="0" applyProtection="0"/>
    <xf numFmtId="0" fontId="20" fillId="9" borderId="200" applyNumberFormat="0" applyAlignment="0" applyProtection="0"/>
    <xf numFmtId="0" fontId="32" fillId="0" borderId="196" applyNumberFormat="0" applyFill="0" applyAlignment="0" applyProtection="0"/>
    <xf numFmtId="0" fontId="30" fillId="2" borderId="202" applyNumberFormat="0" applyAlignment="0" applyProtection="0"/>
    <xf numFmtId="0" fontId="20" fillId="9" borderId="200" applyNumberFormat="0" applyAlignment="0" applyProtection="0"/>
    <xf numFmtId="0" fontId="20" fillId="2" borderId="200" applyNumberFormat="0" applyAlignment="0" applyProtection="0"/>
    <xf numFmtId="0" fontId="20" fillId="9" borderId="200" applyNumberFormat="0" applyAlignment="0" applyProtection="0"/>
    <xf numFmtId="0" fontId="30" fillId="2" borderId="195" applyNumberFormat="0" applyAlignment="0" applyProtection="0"/>
    <xf numFmtId="0" fontId="14" fillId="6" borderId="194" applyNumberFormat="0" applyFont="0" applyAlignment="0" applyProtection="0"/>
    <xf numFmtId="0" fontId="14" fillId="6" borderId="208" applyNumberFormat="0" applyFont="0" applyAlignment="0" applyProtection="0"/>
    <xf numFmtId="0" fontId="30" fillId="2" borderId="209" applyNumberFormat="0" applyAlignment="0" applyProtection="0"/>
    <xf numFmtId="0" fontId="67" fillId="9" borderId="200" applyNumberFormat="0" applyAlignment="0" applyProtection="0">
      <alignment vertical="center"/>
    </xf>
    <xf numFmtId="0" fontId="27" fillId="4" borderId="193" applyNumberFormat="0" applyAlignment="0" applyProtection="0"/>
    <xf numFmtId="0" fontId="76" fillId="0" borderId="218" applyNumberFormat="0" applyFill="0" applyAlignment="0" applyProtection="0">
      <alignment vertical="center"/>
    </xf>
    <xf numFmtId="0" fontId="30" fillId="9" borderId="202" applyNumberFormat="0" applyAlignment="0" applyProtection="0"/>
    <xf numFmtId="0" fontId="14" fillId="6" borderId="201" applyNumberFormat="0" applyFont="0" applyAlignment="0" applyProtection="0"/>
    <xf numFmtId="0" fontId="27" fillId="4" borderId="200" applyNumberFormat="0" applyAlignment="0" applyProtection="0"/>
    <xf numFmtId="0" fontId="76" fillId="0" borderId="191" applyNumberFormat="0" applyFill="0" applyAlignment="0" applyProtection="0">
      <alignment vertical="center"/>
    </xf>
    <xf numFmtId="0" fontId="77" fillId="4" borderId="187" applyNumberFormat="0" applyAlignment="0" applyProtection="0">
      <alignment vertical="center"/>
    </xf>
    <xf numFmtId="0" fontId="20" fillId="2" borderId="193" applyNumberFormat="0" applyAlignment="0" applyProtection="0"/>
    <xf numFmtId="0" fontId="20" fillId="9" borderId="200" applyNumberFormat="0" applyAlignment="0" applyProtection="0"/>
    <xf numFmtId="0" fontId="85" fillId="9" borderId="189" applyNumberFormat="0" applyAlignment="0" applyProtection="0">
      <alignment vertical="center"/>
    </xf>
    <xf numFmtId="0" fontId="48" fillId="6" borderId="201" applyNumberFormat="0" applyFont="0" applyAlignment="0" applyProtection="0">
      <alignment vertical="center"/>
    </xf>
    <xf numFmtId="0" fontId="30" fillId="9" borderId="209" applyNumberFormat="0" applyAlignment="0" applyProtection="0"/>
    <xf numFmtId="0" fontId="20" fillId="2" borderId="187" applyNumberFormat="0" applyAlignment="0" applyProtection="0"/>
    <xf numFmtId="0" fontId="27" fillId="4" borderId="187" applyNumberFormat="0" applyAlignment="0" applyProtection="0"/>
    <xf numFmtId="0" fontId="1" fillId="0" borderId="0"/>
    <xf numFmtId="0" fontId="14" fillId="6" borderId="188" applyNumberFormat="0" applyFont="0" applyAlignment="0" applyProtection="0"/>
    <xf numFmtId="0" fontId="30" fillId="2" borderId="189" applyNumberFormat="0" applyAlignment="0" applyProtection="0"/>
    <xf numFmtId="0" fontId="32" fillId="0" borderId="190" applyNumberFormat="0" applyFill="0" applyAlignment="0" applyProtection="0"/>
    <xf numFmtId="0" fontId="20" fillId="9" borderId="187" applyNumberFormat="0" applyAlignment="0" applyProtection="0"/>
    <xf numFmtId="0" fontId="20" fillId="2" borderId="187" applyNumberFormat="0" applyAlignment="0" applyProtection="0"/>
    <xf numFmtId="0" fontId="20" fillId="9" borderId="187" applyNumberFormat="0" applyAlignment="0" applyProtection="0"/>
    <xf numFmtId="0" fontId="20" fillId="9" borderId="187" applyNumberFormat="0" applyAlignment="0" applyProtection="0"/>
    <xf numFmtId="0" fontId="40" fillId="0" borderId="186">
      <alignment horizontal="left" vertical="center"/>
    </xf>
    <xf numFmtId="0" fontId="27" fillId="4" borderId="187" applyNumberFormat="0" applyAlignment="0" applyProtection="0"/>
    <xf numFmtId="0" fontId="27" fillId="4" borderId="187" applyNumberFormat="0" applyAlignment="0" applyProtection="0"/>
    <xf numFmtId="0" fontId="27" fillId="4" borderId="187" applyNumberFormat="0" applyAlignment="0" applyProtection="0"/>
    <xf numFmtId="0" fontId="27" fillId="4" borderId="187" applyNumberFormat="0" applyAlignment="0" applyProtection="0"/>
    <xf numFmtId="0" fontId="1" fillId="0" borderId="0"/>
    <xf numFmtId="0" fontId="1" fillId="0" borderId="0"/>
    <xf numFmtId="0" fontId="14" fillId="6" borderId="188" applyNumberFormat="0" applyFont="0" applyAlignment="0" applyProtection="0"/>
    <xf numFmtId="0" fontId="14" fillId="6" borderId="188" applyNumberFormat="0" applyFont="0" applyAlignment="0" applyProtection="0"/>
    <xf numFmtId="0" fontId="14" fillId="6" borderId="188" applyNumberFormat="0" applyFont="0" applyAlignment="0" applyProtection="0"/>
    <xf numFmtId="0" fontId="30" fillId="9" borderId="189" applyNumberFormat="0" applyAlignment="0" applyProtection="0"/>
    <xf numFmtId="0" fontId="30" fillId="2" borderId="189" applyNumberFormat="0" applyAlignment="0" applyProtection="0"/>
    <xf numFmtId="0" fontId="30" fillId="9" borderId="189" applyNumberFormat="0" applyAlignment="0" applyProtection="0"/>
    <xf numFmtId="0" fontId="30" fillId="9" borderId="189" applyNumberFormat="0" applyAlignment="0" applyProtection="0"/>
    <xf numFmtId="0" fontId="32" fillId="0" borderId="190" applyNumberFormat="0" applyFill="0" applyAlignment="0" applyProtection="0"/>
    <xf numFmtId="0" fontId="67" fillId="9" borderId="187" applyNumberFormat="0" applyAlignment="0" applyProtection="0">
      <alignment vertical="center"/>
    </xf>
    <xf numFmtId="0" fontId="48" fillId="6" borderId="188" applyNumberFormat="0" applyFont="0" applyAlignment="0" applyProtection="0">
      <alignment vertical="center"/>
    </xf>
    <xf numFmtId="0" fontId="77" fillId="4" borderId="187" applyNumberFormat="0" applyAlignment="0" applyProtection="0">
      <alignment vertical="center"/>
    </xf>
    <xf numFmtId="0" fontId="85" fillId="9" borderId="189" applyNumberFormat="0" applyAlignment="0" applyProtection="0">
      <alignment vertical="center"/>
    </xf>
    <xf numFmtId="0" fontId="1" fillId="0" borderId="0"/>
    <xf numFmtId="0" fontId="32" fillId="0" borderId="198" applyNumberFormat="0" applyFill="0" applyAlignment="0" applyProtection="0"/>
    <xf numFmtId="0" fontId="77" fillId="4" borderId="193" applyNumberFormat="0" applyAlignment="0" applyProtection="0">
      <alignment vertical="center"/>
    </xf>
    <xf numFmtId="0" fontId="27" fillId="4" borderId="193" applyNumberFormat="0" applyAlignment="0" applyProtection="0"/>
    <xf numFmtId="0" fontId="27" fillId="4" borderId="207" applyNumberFormat="0" applyAlignment="0" applyProtection="0"/>
    <xf numFmtId="10" fontId="54" fillId="19" borderId="167" applyNumberFormat="0" applyBorder="0" applyAlignment="0" applyProtection="0"/>
    <xf numFmtId="0" fontId="1" fillId="0" borderId="0"/>
    <xf numFmtId="0" fontId="1" fillId="0" borderId="0"/>
    <xf numFmtId="0" fontId="14" fillId="6" borderId="215" applyNumberFormat="0" applyFont="0" applyAlignment="0" applyProtection="0"/>
    <xf numFmtId="0" fontId="1" fillId="0" borderId="0"/>
    <xf numFmtId="0" fontId="14" fillId="6" borderId="188" applyNumberFormat="0" applyFont="0" applyAlignment="0" applyProtection="0"/>
    <xf numFmtId="10" fontId="54" fillId="19" borderId="167" applyNumberFormat="0" applyBorder="0" applyAlignment="0" applyProtection="0"/>
    <xf numFmtId="0" fontId="1" fillId="0" borderId="0"/>
    <xf numFmtId="0" fontId="1" fillId="0" borderId="0"/>
    <xf numFmtId="0" fontId="14" fillId="6" borderId="188" applyNumberFormat="0" applyFont="0" applyAlignment="0" applyProtection="0"/>
    <xf numFmtId="0" fontId="14" fillId="6" borderId="188" applyNumberFormat="0" applyFont="0" applyAlignment="0" applyProtection="0"/>
    <xf numFmtId="0" fontId="14" fillId="6" borderId="188" applyNumberFormat="0" applyFont="0" applyAlignment="0" applyProtection="0"/>
    <xf numFmtId="0" fontId="48" fillId="6" borderId="188" applyNumberFormat="0" applyFont="0" applyAlignment="0" applyProtection="0">
      <alignment vertical="center"/>
    </xf>
    <xf numFmtId="0" fontId="20" fillId="2" borderId="207" applyNumberFormat="0" applyAlignment="0" applyProtection="0"/>
    <xf numFmtId="0" fontId="32" fillId="0" borderId="217" applyNumberFormat="0" applyFill="0" applyAlignment="0" applyProtection="0"/>
    <xf numFmtId="0" fontId="85" fillId="9" borderId="195" applyNumberFormat="0" applyAlignment="0" applyProtection="0">
      <alignment vertical="center"/>
    </xf>
    <xf numFmtId="0" fontId="32" fillId="0" borderId="198" applyNumberFormat="0" applyFill="0" applyAlignment="0" applyProtection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27" fillId="4" borderId="207" applyNumberFormat="0" applyAlignment="0" applyProtection="0"/>
    <xf numFmtId="0" fontId="113" fillId="0" borderId="0"/>
    <xf numFmtId="43" fontId="12" fillId="0" borderId="0" applyFont="0" applyFill="0" applyBorder="0" applyAlignment="0" applyProtection="0"/>
    <xf numFmtId="0" fontId="113" fillId="0" borderId="0"/>
    <xf numFmtId="0" fontId="32" fillId="0" borderId="204" applyNumberFormat="0" applyFill="0" applyAlignment="0" applyProtection="0"/>
    <xf numFmtId="0" fontId="30" fillId="2" borderId="202" applyNumberFormat="0" applyAlignment="0" applyProtection="0"/>
    <xf numFmtId="0" fontId="32" fillId="0" borderId="204" applyNumberFormat="0" applyFill="0" applyAlignment="0" applyProtection="0"/>
    <xf numFmtId="0" fontId="20" fillId="2" borderId="200" applyNumberFormat="0" applyAlignment="0" applyProtection="0"/>
    <xf numFmtId="0" fontId="77" fillId="4" borderId="200" applyNumberFormat="0" applyAlignment="0" applyProtection="0">
      <alignment vertical="center"/>
    </xf>
    <xf numFmtId="0" fontId="32" fillId="0" borderId="204" applyNumberFormat="0" applyFill="0" applyAlignment="0" applyProtection="0"/>
    <xf numFmtId="0" fontId="32" fillId="0" borderId="204" applyNumberFormat="0" applyFill="0" applyAlignment="0" applyProtection="0"/>
    <xf numFmtId="10" fontId="54" fillId="19" borderId="192" applyNumberFormat="0" applyBorder="0" applyAlignment="0" applyProtection="0"/>
    <xf numFmtId="0" fontId="85" fillId="9" borderId="202" applyNumberFormat="0" applyAlignment="0" applyProtection="0">
      <alignment vertical="center"/>
    </xf>
    <xf numFmtId="0" fontId="27" fillId="4" borderId="200" applyNumberFormat="0" applyAlignment="0" applyProtection="0"/>
    <xf numFmtId="0" fontId="20" fillId="9" borderId="200" applyNumberFormat="0" applyAlignment="0" applyProtection="0"/>
    <xf numFmtId="0" fontId="20" fillId="9" borderId="200" applyNumberFormat="0" applyAlignment="0" applyProtection="0"/>
    <xf numFmtId="0" fontId="20" fillId="2" borderId="200" applyNumberFormat="0" applyAlignment="0" applyProtection="0"/>
    <xf numFmtId="0" fontId="14" fillId="6" borderId="194" applyNumberFormat="0" applyFont="0" applyAlignment="0" applyProtection="0"/>
    <xf numFmtId="10" fontId="54" fillId="19" borderId="192" applyNumberFormat="0" applyBorder="0" applyAlignment="0" applyProtection="0"/>
    <xf numFmtId="0" fontId="14" fillId="6" borderId="194" applyNumberFormat="0" applyFont="0" applyAlignment="0" applyProtection="0"/>
    <xf numFmtId="0" fontId="14" fillId="6" borderId="194" applyNumberFormat="0" applyFont="0" applyAlignment="0" applyProtection="0"/>
    <xf numFmtId="0" fontId="14" fillId="6" borderId="194" applyNumberFormat="0" applyFont="0" applyAlignment="0" applyProtection="0"/>
    <xf numFmtId="0" fontId="48" fillId="6" borderId="194" applyNumberFormat="0" applyFont="0" applyAlignment="0" applyProtection="0">
      <alignment vertical="center"/>
    </xf>
    <xf numFmtId="0" fontId="32" fillId="0" borderId="203" applyNumberFormat="0" applyFill="0" applyAlignment="0" applyProtection="0"/>
    <xf numFmtId="0" fontId="27" fillId="4" borderId="200" applyNumberFormat="0" applyAlignment="0" applyProtection="0"/>
    <xf numFmtId="0" fontId="48" fillId="6" borderId="201" applyNumberFormat="0" applyFont="0" applyAlignment="0" applyProtection="0">
      <alignment vertical="center"/>
    </xf>
    <xf numFmtId="0" fontId="32" fillId="0" borderId="204" applyNumberFormat="0" applyFill="0" applyAlignment="0" applyProtection="0"/>
    <xf numFmtId="0" fontId="30" fillId="9" borderId="202" applyNumberFormat="0" applyAlignment="0" applyProtection="0"/>
    <xf numFmtId="0" fontId="76" fillId="0" borderId="204" applyNumberFormat="0" applyFill="0" applyAlignment="0" applyProtection="0">
      <alignment vertical="center"/>
    </xf>
    <xf numFmtId="0" fontId="85" fillId="9" borderId="216" applyNumberFormat="0" applyAlignment="0" applyProtection="0">
      <alignment vertical="center"/>
    </xf>
    <xf numFmtId="43" fontId="12" fillId="0" borderId="0" applyFont="0" applyFill="0" applyBorder="0" applyAlignment="0" applyProtection="0"/>
    <xf numFmtId="0" fontId="14" fillId="6" borderId="201" applyNumberFormat="0" applyFont="0" applyAlignment="0" applyProtection="0"/>
    <xf numFmtId="0" fontId="14" fillId="6" borderId="194" applyNumberFormat="0" applyFont="0" applyAlignment="0" applyProtection="0"/>
    <xf numFmtId="0" fontId="14" fillId="6" borderId="194" applyNumberFormat="0" applyFont="0" applyAlignment="0" applyProtection="0"/>
    <xf numFmtId="0" fontId="14" fillId="6" borderId="194" applyNumberFormat="0" applyFont="0" applyAlignment="0" applyProtection="0"/>
    <xf numFmtId="0" fontId="27" fillId="4" borderId="193" applyNumberFormat="0" applyAlignment="0" applyProtection="0"/>
    <xf numFmtId="0" fontId="27" fillId="4" borderId="193" applyNumberFormat="0" applyAlignment="0" applyProtection="0"/>
    <xf numFmtId="0" fontId="27" fillId="4" borderId="193" applyNumberFormat="0" applyAlignment="0" applyProtection="0"/>
    <xf numFmtId="0" fontId="27" fillId="4" borderId="193" applyNumberFormat="0" applyAlignment="0" applyProtection="0"/>
    <xf numFmtId="0" fontId="20" fillId="9" borderId="193" applyNumberFormat="0" applyAlignment="0" applyProtection="0"/>
    <xf numFmtId="0" fontId="20" fillId="9" borderId="193" applyNumberFormat="0" applyAlignment="0" applyProtection="0"/>
    <xf numFmtId="0" fontId="20" fillId="2" borderId="193" applyNumberFormat="0" applyAlignment="0" applyProtection="0"/>
    <xf numFmtId="0" fontId="20" fillId="9" borderId="193" applyNumberFormat="0" applyAlignment="0" applyProtection="0"/>
    <xf numFmtId="0" fontId="32" fillId="0" borderId="211" applyNumberFormat="0" applyFill="0" applyAlignment="0" applyProtection="0"/>
    <xf numFmtId="0" fontId="32" fillId="0" borderId="198" applyNumberFormat="0" applyFill="0" applyAlignment="0" applyProtection="0"/>
    <xf numFmtId="0" fontId="32" fillId="0" borderId="198" applyNumberFormat="0" applyFill="0" applyAlignment="0" applyProtection="0"/>
    <xf numFmtId="0" fontId="32" fillId="0" borderId="198" applyNumberFormat="0" applyFill="0" applyAlignment="0" applyProtection="0"/>
    <xf numFmtId="0" fontId="32" fillId="0" borderId="196" applyNumberFormat="0" applyFill="0" applyAlignment="0" applyProtection="0"/>
    <xf numFmtId="0" fontId="30" fillId="2" borderId="195" applyNumberFormat="0" applyAlignment="0" applyProtection="0"/>
    <xf numFmtId="0" fontId="14" fillId="6" borderId="194" applyNumberFormat="0" applyFont="0" applyAlignment="0" applyProtection="0"/>
    <xf numFmtId="0" fontId="27" fillId="4" borderId="193" applyNumberFormat="0" applyAlignment="0" applyProtection="0"/>
    <xf numFmtId="0" fontId="76" fillId="0" borderId="198" applyNumberFormat="0" applyFill="0" applyAlignment="0" applyProtection="0">
      <alignment vertical="center"/>
    </xf>
    <xf numFmtId="0" fontId="20" fillId="2" borderId="193" applyNumberFormat="0" applyAlignment="0" applyProtection="0"/>
    <xf numFmtId="0" fontId="67" fillId="9" borderId="207" applyNumberFormat="0" applyAlignment="0" applyProtection="0">
      <alignment vertical="center"/>
    </xf>
    <xf numFmtId="0" fontId="27" fillId="4" borderId="193" applyNumberFormat="0" applyAlignment="0" applyProtection="0"/>
    <xf numFmtId="0" fontId="27" fillId="4" borderId="193" applyNumberFormat="0" applyAlignment="0" applyProtection="0"/>
    <xf numFmtId="0" fontId="27" fillId="4" borderId="193" applyNumberFormat="0" applyAlignment="0" applyProtection="0"/>
    <xf numFmtId="0" fontId="14" fillId="6" borderId="194" applyNumberFormat="0" applyFont="0" applyAlignment="0" applyProtection="0"/>
    <xf numFmtId="0" fontId="14" fillId="6" borderId="194" applyNumberFormat="0" applyFont="0" applyAlignment="0" applyProtection="0"/>
    <xf numFmtId="0" fontId="14" fillId="6" borderId="194" applyNumberFormat="0" applyFont="0" applyAlignment="0" applyProtection="0"/>
    <xf numFmtId="0" fontId="30" fillId="9" borderId="195" applyNumberFormat="0" applyAlignment="0" applyProtection="0"/>
    <xf numFmtId="0" fontId="30" fillId="2" borderId="195" applyNumberFormat="0" applyAlignment="0" applyProtection="0"/>
    <xf numFmtId="0" fontId="30" fillId="9" borderId="195" applyNumberFormat="0" applyAlignment="0" applyProtection="0"/>
    <xf numFmtId="0" fontId="30" fillId="9" borderId="195" applyNumberFormat="0" applyAlignment="0" applyProtection="0"/>
    <xf numFmtId="0" fontId="32" fillId="0" borderId="196" applyNumberFormat="0" applyFill="0" applyAlignment="0" applyProtection="0"/>
    <xf numFmtId="0" fontId="67" fillId="9" borderId="193" applyNumberFormat="0" applyAlignment="0" applyProtection="0">
      <alignment vertical="center"/>
    </xf>
    <xf numFmtId="0" fontId="48" fillId="6" borderId="194" applyNumberFormat="0" applyFont="0" applyAlignment="0" applyProtection="0">
      <alignment vertical="center"/>
    </xf>
    <xf numFmtId="0" fontId="77" fillId="4" borderId="193" applyNumberFormat="0" applyAlignment="0" applyProtection="0">
      <alignment vertical="center"/>
    </xf>
    <xf numFmtId="0" fontId="85" fillId="9" borderId="195" applyNumberFormat="0" applyAlignment="0" applyProtection="0">
      <alignment vertical="center"/>
    </xf>
    <xf numFmtId="10" fontId="54" fillId="19" borderId="199" applyNumberFormat="0" applyBorder="0" applyAlignment="0" applyProtection="0"/>
    <xf numFmtId="0" fontId="32" fillId="0" borderId="210" applyNumberFormat="0" applyFill="0" applyAlignment="0" applyProtection="0"/>
    <xf numFmtId="10" fontId="54" fillId="19" borderId="199" applyNumberFormat="0" applyBorder="0" applyAlignment="0" applyProtection="0"/>
    <xf numFmtId="0" fontId="20" fillId="9" borderId="207" applyNumberFormat="0" applyAlignment="0" applyProtection="0"/>
    <xf numFmtId="0" fontId="30" fillId="9" borderId="209" applyNumberFormat="0" applyAlignment="0" applyProtection="0"/>
    <xf numFmtId="43" fontId="12" fillId="0" borderId="0" applyFont="0" applyFill="0" applyBorder="0" applyAlignment="0" applyProtection="0"/>
    <xf numFmtId="0" fontId="27" fillId="4" borderId="200" applyNumberFormat="0" applyAlignment="0" applyProtection="0"/>
    <xf numFmtId="0" fontId="27" fillId="4" borderId="200" applyNumberFormat="0" applyAlignment="0" applyProtection="0"/>
    <xf numFmtId="0" fontId="20" fillId="9" borderId="200" applyNumberFormat="0" applyAlignment="0" applyProtection="0"/>
    <xf numFmtId="0" fontId="20" fillId="9" borderId="200" applyNumberFormat="0" applyAlignment="0" applyProtection="0"/>
    <xf numFmtId="0" fontId="20" fillId="2" borderId="200" applyNumberFormat="0" applyAlignment="0" applyProtection="0"/>
    <xf numFmtId="0" fontId="20" fillId="9" borderId="200" applyNumberFormat="0" applyAlignment="0" applyProtection="0"/>
    <xf numFmtId="0" fontId="32" fillId="0" borderId="204" applyNumberFormat="0" applyFill="0" applyAlignment="0" applyProtection="0"/>
    <xf numFmtId="0" fontId="32" fillId="0" borderId="204" applyNumberFormat="0" applyFill="0" applyAlignment="0" applyProtection="0"/>
    <xf numFmtId="0" fontId="32" fillId="0" borderId="204" applyNumberFormat="0" applyFill="0" applyAlignment="0" applyProtection="0"/>
    <xf numFmtId="0" fontId="32" fillId="0" borderId="203" applyNumberFormat="0" applyFill="0" applyAlignment="0" applyProtection="0"/>
    <xf numFmtId="0" fontId="30" fillId="2" borderId="202" applyNumberFormat="0" applyAlignment="0" applyProtection="0"/>
    <xf numFmtId="0" fontId="14" fillId="6" borderId="201" applyNumberFormat="0" applyFont="0" applyAlignment="0" applyProtection="0"/>
    <xf numFmtId="0" fontId="27" fillId="4" borderId="200" applyNumberFormat="0" applyAlignment="0" applyProtection="0"/>
    <xf numFmtId="0" fontId="76" fillId="0" borderId="204" applyNumberFormat="0" applyFill="0" applyAlignment="0" applyProtection="0">
      <alignment vertical="center"/>
    </xf>
    <xf numFmtId="0" fontId="20" fillId="2" borderId="200" applyNumberFormat="0" applyAlignment="0" applyProtection="0"/>
    <xf numFmtId="0" fontId="14" fillId="6" borderId="201" applyNumberFormat="0" applyFont="0" applyAlignment="0" applyProtection="0"/>
    <xf numFmtId="0" fontId="30" fillId="9" borderId="216" applyNumberFormat="0" applyAlignment="0" applyProtection="0"/>
    <xf numFmtId="0" fontId="14" fillId="6" borderId="201" applyNumberFormat="0" applyFont="0" applyAlignment="0" applyProtection="0"/>
    <xf numFmtId="0" fontId="14" fillId="6" borderId="201" applyNumberFormat="0" applyFont="0" applyAlignment="0" applyProtection="0"/>
    <xf numFmtId="0" fontId="14" fillId="6" borderId="201" applyNumberFormat="0" applyFont="0" applyAlignment="0" applyProtection="0"/>
    <xf numFmtId="0" fontId="48" fillId="6" borderId="201" applyNumberFormat="0" applyFont="0" applyAlignment="0" applyProtection="0">
      <alignment vertical="center"/>
    </xf>
    <xf numFmtId="0" fontId="27" fillId="4" borderId="200" applyNumberFormat="0" applyAlignment="0" applyProtection="0"/>
    <xf numFmtId="0" fontId="27" fillId="4" borderId="200" applyNumberFormat="0" applyAlignment="0" applyProtection="0"/>
    <xf numFmtId="0" fontId="27" fillId="4" borderId="200" applyNumberFormat="0" applyAlignment="0" applyProtection="0"/>
    <xf numFmtId="0" fontId="14" fillId="6" borderId="201" applyNumberFormat="0" applyFont="0" applyAlignment="0" applyProtection="0"/>
    <xf numFmtId="0" fontId="14" fillId="6" borderId="201" applyNumberFormat="0" applyFont="0" applyAlignment="0" applyProtection="0"/>
    <xf numFmtId="0" fontId="14" fillId="6" borderId="201" applyNumberFormat="0" applyFont="0" applyAlignment="0" applyProtection="0"/>
    <xf numFmtId="0" fontId="30" fillId="9" borderId="202" applyNumberFormat="0" applyAlignment="0" applyProtection="0"/>
    <xf numFmtId="0" fontId="30" fillId="2" borderId="202" applyNumberFormat="0" applyAlignment="0" applyProtection="0"/>
    <xf numFmtId="0" fontId="30" fillId="9" borderId="202" applyNumberFormat="0" applyAlignment="0" applyProtection="0"/>
    <xf numFmtId="0" fontId="30" fillId="9" borderId="202" applyNumberFormat="0" applyAlignment="0" applyProtection="0"/>
    <xf numFmtId="0" fontId="32" fillId="0" borderId="203" applyNumberFormat="0" applyFill="0" applyAlignment="0" applyProtection="0"/>
    <xf numFmtId="0" fontId="67" fillId="9" borderId="200" applyNumberFormat="0" applyAlignment="0" applyProtection="0">
      <alignment vertical="center"/>
    </xf>
    <xf numFmtId="0" fontId="48" fillId="6" borderId="201" applyNumberFormat="0" applyFont="0" applyAlignment="0" applyProtection="0">
      <alignment vertical="center"/>
    </xf>
    <xf numFmtId="0" fontId="77" fillId="4" borderId="200" applyNumberFormat="0" applyAlignment="0" applyProtection="0">
      <alignment vertical="center"/>
    </xf>
    <xf numFmtId="0" fontId="85" fillId="9" borderId="202" applyNumberFormat="0" applyAlignment="0" applyProtection="0">
      <alignment vertical="center"/>
    </xf>
    <xf numFmtId="10" fontId="54" fillId="19" borderId="205" applyNumberFormat="0" applyBorder="0" applyAlignment="0" applyProtection="0"/>
    <xf numFmtId="10" fontId="54" fillId="19" borderId="205" applyNumberFormat="0" applyBorder="0" applyAlignment="0" applyProtection="0"/>
    <xf numFmtId="0" fontId="32" fillId="0" borderId="218" applyNumberFormat="0" applyFill="0" applyAlignment="0" applyProtection="0"/>
    <xf numFmtId="0" fontId="32" fillId="0" borderId="217" applyNumberFormat="0" applyFill="0" applyAlignment="0" applyProtection="0"/>
    <xf numFmtId="43" fontId="12" fillId="0" borderId="0" applyFont="0" applyFill="0" applyBorder="0" applyAlignment="0" applyProtection="0"/>
    <xf numFmtId="0" fontId="32" fillId="0" borderId="218" applyNumberFormat="0" applyFill="0" applyAlignment="0" applyProtection="0"/>
    <xf numFmtId="0" fontId="14" fillId="6" borderId="208" applyNumberFormat="0" applyFont="0" applyAlignment="0" applyProtection="0"/>
    <xf numFmtId="0" fontId="30" fillId="2" borderId="209" applyNumberFormat="0" applyAlignment="0" applyProtection="0"/>
    <xf numFmtId="0" fontId="32" fillId="0" borderId="210" applyNumberFormat="0" applyFill="0" applyAlignment="0" applyProtection="0"/>
    <xf numFmtId="0" fontId="20" fillId="9" borderId="207" applyNumberFormat="0" applyAlignment="0" applyProtection="0"/>
    <xf numFmtId="0" fontId="20" fillId="2" borderId="207" applyNumberFormat="0" applyAlignment="0" applyProtection="0"/>
    <xf numFmtId="0" fontId="20" fillId="9" borderId="207" applyNumberFormat="0" applyAlignment="0" applyProtection="0"/>
    <xf numFmtId="0" fontId="20" fillId="9" borderId="207" applyNumberFormat="0" applyAlignment="0" applyProtection="0"/>
    <xf numFmtId="0" fontId="40" fillId="0" borderId="206">
      <alignment horizontal="left" vertical="center"/>
    </xf>
    <xf numFmtId="0" fontId="27" fillId="4" borderId="207" applyNumberFormat="0" applyAlignment="0" applyProtection="0"/>
    <xf numFmtId="0" fontId="27" fillId="4" borderId="207" applyNumberFormat="0" applyAlignment="0" applyProtection="0"/>
    <xf numFmtId="0" fontId="27" fillId="4" borderId="207" applyNumberFormat="0" applyAlignment="0" applyProtection="0"/>
    <xf numFmtId="0" fontId="27" fillId="4" borderId="207" applyNumberFormat="0" applyAlignment="0" applyProtection="0"/>
    <xf numFmtId="0" fontId="14" fillId="6" borderId="208" applyNumberFormat="0" applyFont="0" applyAlignment="0" applyProtection="0"/>
    <xf numFmtId="0" fontId="14" fillId="6" borderId="208" applyNumberFormat="0" applyFont="0" applyAlignment="0" applyProtection="0"/>
    <xf numFmtId="0" fontId="14" fillId="6" borderId="208" applyNumberFormat="0" applyFont="0" applyAlignment="0" applyProtection="0"/>
    <xf numFmtId="0" fontId="30" fillId="9" borderId="209" applyNumberFormat="0" applyAlignment="0" applyProtection="0"/>
    <xf numFmtId="0" fontId="30" fillId="2" borderId="209" applyNumberFormat="0" applyAlignment="0" applyProtection="0"/>
    <xf numFmtId="0" fontId="30" fillId="9" borderId="209" applyNumberFormat="0" applyAlignment="0" applyProtection="0"/>
    <xf numFmtId="0" fontId="30" fillId="9" borderId="209" applyNumberFormat="0" applyAlignment="0" applyProtection="0"/>
    <xf numFmtId="0" fontId="32" fillId="0" borderId="210" applyNumberFormat="0" applyFill="0" applyAlignment="0" applyProtection="0"/>
    <xf numFmtId="0" fontId="67" fillId="9" borderId="207" applyNumberFormat="0" applyAlignment="0" applyProtection="0">
      <alignment vertical="center"/>
    </xf>
    <xf numFmtId="0" fontId="48" fillId="6" borderId="208" applyNumberFormat="0" applyFont="0" applyAlignment="0" applyProtection="0">
      <alignment vertical="center"/>
    </xf>
    <xf numFmtId="0" fontId="77" fillId="4" borderId="207" applyNumberFormat="0" applyAlignment="0" applyProtection="0">
      <alignment vertical="center"/>
    </xf>
    <xf numFmtId="0" fontId="85" fillId="9" borderId="209" applyNumberFormat="0" applyAlignment="0" applyProtection="0">
      <alignment vertical="center"/>
    </xf>
    <xf numFmtId="0" fontId="27" fillId="4" borderId="207" applyNumberFormat="0" applyAlignment="0" applyProtection="0"/>
    <xf numFmtId="0" fontId="40" fillId="0" borderId="206">
      <alignment horizontal="left" vertical="center"/>
    </xf>
    <xf numFmtId="0" fontId="20" fillId="9" borderId="207" applyNumberFormat="0" applyAlignment="0" applyProtection="0"/>
    <xf numFmtId="0" fontId="20" fillId="9" borderId="207" applyNumberFormat="0" applyAlignment="0" applyProtection="0"/>
    <xf numFmtId="0" fontId="20" fillId="2" borderId="207" applyNumberFormat="0" applyAlignment="0" applyProtection="0"/>
    <xf numFmtId="0" fontId="20" fillId="9" borderId="207" applyNumberFormat="0" applyAlignment="0" applyProtection="0"/>
    <xf numFmtId="0" fontId="32" fillId="0" borderId="210" applyNumberFormat="0" applyFill="0" applyAlignment="0" applyProtection="0"/>
    <xf numFmtId="0" fontId="30" fillId="2" borderId="209" applyNumberFormat="0" applyAlignment="0" applyProtection="0"/>
    <xf numFmtId="0" fontId="14" fillId="6" borderId="208" applyNumberFormat="0" applyFont="0" applyAlignment="0" applyProtection="0"/>
    <xf numFmtId="0" fontId="27" fillId="4" borderId="207" applyNumberFormat="0" applyAlignment="0" applyProtection="0"/>
    <xf numFmtId="0" fontId="20" fillId="2" borderId="207" applyNumberFormat="0" applyAlignment="0" applyProtection="0"/>
    <xf numFmtId="0" fontId="85" fillId="9" borderId="209" applyNumberFormat="0" applyAlignment="0" applyProtection="0">
      <alignment vertical="center"/>
    </xf>
    <xf numFmtId="0" fontId="77" fillId="4" borderId="207" applyNumberFormat="0" applyAlignment="0" applyProtection="0">
      <alignment vertical="center"/>
    </xf>
    <xf numFmtId="0" fontId="76" fillId="0" borderId="211" applyNumberFormat="0" applyFill="0" applyAlignment="0" applyProtection="0">
      <alignment vertical="center"/>
    </xf>
    <xf numFmtId="0" fontId="48" fillId="6" borderId="208" applyNumberFormat="0" applyFont="0" applyAlignment="0" applyProtection="0">
      <alignment vertical="center"/>
    </xf>
    <xf numFmtId="0" fontId="67" fillId="9" borderId="207" applyNumberFormat="0" applyAlignment="0" applyProtection="0">
      <alignment vertical="center"/>
    </xf>
    <xf numFmtId="0" fontId="32" fillId="0" borderId="211" applyNumberFormat="0" applyFill="0" applyAlignment="0" applyProtection="0"/>
    <xf numFmtId="0" fontId="32" fillId="0" borderId="211" applyNumberFormat="0" applyFill="0" applyAlignment="0" applyProtection="0"/>
    <xf numFmtId="0" fontId="32" fillId="0" borderId="210" applyNumberFormat="0" applyFill="0" applyAlignment="0" applyProtection="0"/>
    <xf numFmtId="0" fontId="32" fillId="0" borderId="211" applyNumberFormat="0" applyFill="0" applyAlignment="0" applyProtection="0"/>
    <xf numFmtId="0" fontId="30" fillId="9" borderId="209" applyNumberFormat="0" applyAlignment="0" applyProtection="0"/>
    <xf numFmtId="0" fontId="30" fillId="9" borderId="209" applyNumberFormat="0" applyAlignment="0" applyProtection="0"/>
    <xf numFmtId="0" fontId="30" fillId="2" borderId="209" applyNumberFormat="0" applyAlignment="0" applyProtection="0"/>
    <xf numFmtId="0" fontId="30" fillId="9" borderId="209" applyNumberFormat="0" applyAlignment="0" applyProtection="0"/>
    <xf numFmtId="0" fontId="14" fillId="6" borderId="208" applyNumberFormat="0" applyFont="0" applyAlignment="0" applyProtection="0"/>
    <xf numFmtId="0" fontId="14" fillId="6" borderId="208" applyNumberFormat="0" applyFont="0" applyAlignment="0" applyProtection="0"/>
    <xf numFmtId="0" fontId="14" fillId="6" borderId="208" applyNumberFormat="0" applyFont="0" applyAlignment="0" applyProtection="0"/>
    <xf numFmtId="0" fontId="27" fillId="4" borderId="207" applyNumberFormat="0" applyAlignment="0" applyProtection="0"/>
    <xf numFmtId="0" fontId="27" fillId="4" borderId="207" applyNumberFormat="0" applyAlignment="0" applyProtection="0"/>
    <xf numFmtId="0" fontId="27" fillId="4" borderId="207" applyNumberFormat="0" applyAlignment="0" applyProtection="0"/>
    <xf numFmtId="0" fontId="27" fillId="4" borderId="207" applyNumberFormat="0" applyAlignment="0" applyProtection="0"/>
    <xf numFmtId="0" fontId="40" fillId="0" borderId="206">
      <alignment horizontal="left" vertical="center"/>
    </xf>
    <xf numFmtId="0" fontId="20" fillId="9" borderId="207" applyNumberFormat="0" applyAlignment="0" applyProtection="0"/>
    <xf numFmtId="0" fontId="20" fillId="9" borderId="207" applyNumberFormat="0" applyAlignment="0" applyProtection="0"/>
    <xf numFmtId="0" fontId="20" fillId="2" borderId="207" applyNumberFormat="0" applyAlignment="0" applyProtection="0"/>
    <xf numFmtId="0" fontId="20" fillId="9" borderId="207" applyNumberFormat="0" applyAlignment="0" applyProtection="0"/>
    <xf numFmtId="0" fontId="32" fillId="0" borderId="211" applyNumberFormat="0" applyFill="0" applyAlignment="0" applyProtection="0"/>
    <xf numFmtId="0" fontId="32" fillId="0" borderId="211" applyNumberFormat="0" applyFill="0" applyAlignment="0" applyProtection="0"/>
    <xf numFmtId="0" fontId="32" fillId="0" borderId="211" applyNumberFormat="0" applyFill="0" applyAlignment="0" applyProtection="0"/>
    <xf numFmtId="0" fontId="32" fillId="0" borderId="210" applyNumberFormat="0" applyFill="0" applyAlignment="0" applyProtection="0"/>
    <xf numFmtId="0" fontId="30" fillId="2" borderId="209" applyNumberFormat="0" applyAlignment="0" applyProtection="0"/>
    <xf numFmtId="0" fontId="14" fillId="6" borderId="208" applyNumberFormat="0" applyFont="0" applyAlignment="0" applyProtection="0"/>
    <xf numFmtId="0" fontId="27" fillId="4" borderId="207" applyNumberFormat="0" applyAlignment="0" applyProtection="0"/>
    <xf numFmtId="0" fontId="76" fillId="0" borderId="211" applyNumberFormat="0" applyFill="0" applyAlignment="0" applyProtection="0">
      <alignment vertical="center"/>
    </xf>
    <xf numFmtId="0" fontId="20" fillId="2" borderId="207" applyNumberFormat="0" applyAlignment="0" applyProtection="0"/>
    <xf numFmtId="0" fontId="14" fillId="6" borderId="208" applyNumberFormat="0" applyFont="0" applyAlignment="0" applyProtection="0"/>
    <xf numFmtId="0" fontId="14" fillId="6" borderId="208" applyNumberFormat="0" applyFont="0" applyAlignment="0" applyProtection="0"/>
    <xf numFmtId="0" fontId="14" fillId="6" borderId="208" applyNumberFormat="0" applyFont="0" applyAlignment="0" applyProtection="0"/>
    <xf numFmtId="0" fontId="14" fillId="6" borderId="208" applyNumberFormat="0" applyFont="0" applyAlignment="0" applyProtection="0"/>
    <xf numFmtId="0" fontId="48" fillId="6" borderId="208" applyNumberFormat="0" applyFont="0" applyAlignment="0" applyProtection="0">
      <alignment vertical="center"/>
    </xf>
    <xf numFmtId="0" fontId="27" fillId="4" borderId="207" applyNumberFormat="0" applyAlignment="0" applyProtection="0"/>
    <xf numFmtId="0" fontId="27" fillId="4" borderId="207" applyNumberFormat="0" applyAlignment="0" applyProtection="0"/>
    <xf numFmtId="0" fontId="27" fillId="4" borderId="207" applyNumberFormat="0" applyAlignment="0" applyProtection="0"/>
    <xf numFmtId="0" fontId="14" fillId="6" borderId="208" applyNumberFormat="0" applyFont="0" applyAlignment="0" applyProtection="0"/>
    <xf numFmtId="0" fontId="14" fillId="6" borderId="208" applyNumberFormat="0" applyFont="0" applyAlignment="0" applyProtection="0"/>
    <xf numFmtId="0" fontId="14" fillId="6" borderId="208" applyNumberFormat="0" applyFont="0" applyAlignment="0" applyProtection="0"/>
    <xf numFmtId="0" fontId="30" fillId="9" borderId="209" applyNumberFormat="0" applyAlignment="0" applyProtection="0"/>
    <xf numFmtId="0" fontId="30" fillId="2" borderId="209" applyNumberFormat="0" applyAlignment="0" applyProtection="0"/>
    <xf numFmtId="0" fontId="30" fillId="9" borderId="209" applyNumberFormat="0" applyAlignment="0" applyProtection="0"/>
    <xf numFmtId="0" fontId="30" fillId="9" borderId="209" applyNumberFormat="0" applyAlignment="0" applyProtection="0"/>
    <xf numFmtId="0" fontId="32" fillId="0" borderId="210" applyNumberFormat="0" applyFill="0" applyAlignment="0" applyProtection="0"/>
    <xf numFmtId="0" fontId="67" fillId="9" borderId="207" applyNumberFormat="0" applyAlignment="0" applyProtection="0">
      <alignment vertical="center"/>
    </xf>
    <xf numFmtId="0" fontId="48" fillId="6" borderId="208" applyNumberFormat="0" applyFont="0" applyAlignment="0" applyProtection="0">
      <alignment vertical="center"/>
    </xf>
    <xf numFmtId="0" fontId="77" fillId="4" borderId="207" applyNumberFormat="0" applyAlignment="0" applyProtection="0">
      <alignment vertical="center"/>
    </xf>
    <xf numFmtId="0" fontId="85" fillId="9" borderId="209" applyNumberFormat="0" applyAlignment="0" applyProtection="0">
      <alignment vertical="center"/>
    </xf>
    <xf numFmtId="10" fontId="54" fillId="19" borderId="212" applyNumberFormat="0" applyBorder="0" applyAlignment="0" applyProtection="0"/>
    <xf numFmtId="10" fontId="54" fillId="19" borderId="212" applyNumberFormat="0" applyBorder="0" applyAlignment="0" applyProtection="0"/>
    <xf numFmtId="43" fontId="12" fillId="0" borderId="0" applyFont="0" applyFill="0" applyBorder="0" applyAlignment="0" applyProtection="0"/>
    <xf numFmtId="0" fontId="20" fillId="2" borderId="214" applyNumberFormat="0" applyAlignment="0" applyProtection="0"/>
    <xf numFmtId="0" fontId="27" fillId="4" borderId="214" applyNumberFormat="0" applyAlignment="0" applyProtection="0"/>
    <xf numFmtId="0" fontId="14" fillId="6" borderId="215" applyNumberFormat="0" applyFont="0" applyAlignment="0" applyProtection="0"/>
    <xf numFmtId="0" fontId="30" fillId="2" borderId="216" applyNumberFormat="0" applyAlignment="0" applyProtection="0"/>
    <xf numFmtId="0" fontId="32" fillId="0" borderId="217" applyNumberFormat="0" applyFill="0" applyAlignment="0" applyProtection="0"/>
    <xf numFmtId="0" fontId="20" fillId="9" borderId="214" applyNumberFormat="0" applyAlignment="0" applyProtection="0"/>
    <xf numFmtId="0" fontId="20" fillId="2" borderId="214" applyNumberFormat="0" applyAlignment="0" applyProtection="0"/>
    <xf numFmtId="0" fontId="20" fillId="9" borderId="214" applyNumberFormat="0" applyAlignment="0" applyProtection="0"/>
    <xf numFmtId="0" fontId="20" fillId="9" borderId="214" applyNumberFormat="0" applyAlignment="0" applyProtection="0"/>
    <xf numFmtId="0" fontId="40" fillId="0" borderId="213">
      <alignment horizontal="left" vertical="center"/>
    </xf>
    <xf numFmtId="0" fontId="27" fillId="4" borderId="214" applyNumberFormat="0" applyAlignment="0" applyProtection="0"/>
    <xf numFmtId="0" fontId="27" fillId="4" borderId="214" applyNumberFormat="0" applyAlignment="0" applyProtection="0"/>
    <xf numFmtId="0" fontId="27" fillId="4" borderId="214" applyNumberFormat="0" applyAlignment="0" applyProtection="0"/>
    <xf numFmtId="0" fontId="27" fillId="4" borderId="214" applyNumberFormat="0" applyAlignment="0" applyProtection="0"/>
    <xf numFmtId="0" fontId="14" fillId="6" borderId="215" applyNumberFormat="0" applyFont="0" applyAlignment="0" applyProtection="0"/>
    <xf numFmtId="0" fontId="14" fillId="6" borderId="215" applyNumberFormat="0" applyFont="0" applyAlignment="0" applyProtection="0"/>
    <xf numFmtId="0" fontId="14" fillId="6" borderId="215" applyNumberFormat="0" applyFont="0" applyAlignment="0" applyProtection="0"/>
    <xf numFmtId="0" fontId="30" fillId="9" borderId="216" applyNumberFormat="0" applyAlignment="0" applyProtection="0"/>
    <xf numFmtId="0" fontId="30" fillId="2" borderId="216" applyNumberFormat="0" applyAlignment="0" applyProtection="0"/>
    <xf numFmtId="0" fontId="30" fillId="9" borderId="216" applyNumberFormat="0" applyAlignment="0" applyProtection="0"/>
    <xf numFmtId="0" fontId="30" fillId="9" borderId="216" applyNumberFormat="0" applyAlignment="0" applyProtection="0"/>
    <xf numFmtId="0" fontId="32" fillId="0" borderId="217" applyNumberFormat="0" applyFill="0" applyAlignment="0" applyProtection="0"/>
    <xf numFmtId="0" fontId="67" fillId="9" borderId="214" applyNumberFormat="0" applyAlignment="0" applyProtection="0">
      <alignment vertical="center"/>
    </xf>
    <xf numFmtId="0" fontId="48" fillId="6" borderId="215" applyNumberFormat="0" applyFont="0" applyAlignment="0" applyProtection="0">
      <alignment vertical="center"/>
    </xf>
    <xf numFmtId="0" fontId="77" fillId="4" borderId="214" applyNumberFormat="0" applyAlignment="0" applyProtection="0">
      <alignment vertical="center"/>
    </xf>
    <xf numFmtId="0" fontId="85" fillId="9" borderId="216" applyNumberFormat="0" applyAlignment="0" applyProtection="0">
      <alignment vertical="center"/>
    </xf>
    <xf numFmtId="0" fontId="27" fillId="4" borderId="214" applyNumberFormat="0" applyAlignment="0" applyProtection="0"/>
    <xf numFmtId="0" fontId="40" fillId="0" borderId="213">
      <alignment horizontal="left" vertical="center"/>
    </xf>
    <xf numFmtId="0" fontId="20" fillId="9" borderId="214" applyNumberFormat="0" applyAlignment="0" applyProtection="0"/>
    <xf numFmtId="0" fontId="20" fillId="9" borderId="214" applyNumberFormat="0" applyAlignment="0" applyProtection="0"/>
    <xf numFmtId="0" fontId="20" fillId="2" borderId="214" applyNumberFormat="0" applyAlignment="0" applyProtection="0"/>
    <xf numFmtId="0" fontId="20" fillId="9" borderId="214" applyNumberFormat="0" applyAlignment="0" applyProtection="0"/>
    <xf numFmtId="0" fontId="32" fillId="0" borderId="217" applyNumberFormat="0" applyFill="0" applyAlignment="0" applyProtection="0"/>
    <xf numFmtId="0" fontId="30" fillId="2" borderId="216" applyNumberFormat="0" applyAlignment="0" applyProtection="0"/>
    <xf numFmtId="0" fontId="14" fillId="6" borderId="215" applyNumberFormat="0" applyFont="0" applyAlignment="0" applyProtection="0"/>
    <xf numFmtId="0" fontId="27" fillId="4" borderId="214" applyNumberFormat="0" applyAlignment="0" applyProtection="0"/>
    <xf numFmtId="0" fontId="20" fillId="2" borderId="214" applyNumberFormat="0" applyAlignment="0" applyProtection="0"/>
    <xf numFmtId="0" fontId="85" fillId="9" borderId="216" applyNumberFormat="0" applyAlignment="0" applyProtection="0">
      <alignment vertical="center"/>
    </xf>
    <xf numFmtId="0" fontId="77" fillId="4" borderId="214" applyNumberFormat="0" applyAlignment="0" applyProtection="0">
      <alignment vertical="center"/>
    </xf>
    <xf numFmtId="0" fontId="76" fillId="0" borderId="218" applyNumberFormat="0" applyFill="0" applyAlignment="0" applyProtection="0">
      <alignment vertical="center"/>
    </xf>
    <xf numFmtId="0" fontId="48" fillId="6" borderId="215" applyNumberFormat="0" applyFont="0" applyAlignment="0" applyProtection="0">
      <alignment vertical="center"/>
    </xf>
    <xf numFmtId="0" fontId="67" fillId="9" borderId="214" applyNumberFormat="0" applyAlignment="0" applyProtection="0">
      <alignment vertical="center"/>
    </xf>
    <xf numFmtId="0" fontId="32" fillId="0" borderId="218" applyNumberFormat="0" applyFill="0" applyAlignment="0" applyProtection="0"/>
    <xf numFmtId="0" fontId="32" fillId="0" borderId="218" applyNumberFormat="0" applyFill="0" applyAlignment="0" applyProtection="0"/>
    <xf numFmtId="0" fontId="32" fillId="0" borderId="217" applyNumberFormat="0" applyFill="0" applyAlignment="0" applyProtection="0"/>
    <xf numFmtId="0" fontId="32" fillId="0" borderId="218" applyNumberFormat="0" applyFill="0" applyAlignment="0" applyProtection="0"/>
    <xf numFmtId="0" fontId="30" fillId="9" borderId="216" applyNumberFormat="0" applyAlignment="0" applyProtection="0"/>
    <xf numFmtId="0" fontId="30" fillId="9" borderId="216" applyNumberFormat="0" applyAlignment="0" applyProtection="0"/>
    <xf numFmtId="0" fontId="30" fillId="2" borderId="216" applyNumberFormat="0" applyAlignment="0" applyProtection="0"/>
    <xf numFmtId="0" fontId="30" fillId="9" borderId="216" applyNumberFormat="0" applyAlignment="0" applyProtection="0"/>
    <xf numFmtId="0" fontId="14" fillId="6" borderId="215" applyNumberFormat="0" applyFont="0" applyAlignment="0" applyProtection="0"/>
    <xf numFmtId="0" fontId="14" fillId="6" borderId="215" applyNumberFormat="0" applyFont="0" applyAlignment="0" applyProtection="0"/>
    <xf numFmtId="0" fontId="14" fillId="6" borderId="215" applyNumberFormat="0" applyFont="0" applyAlignment="0" applyProtection="0"/>
    <xf numFmtId="0" fontId="27" fillId="4" borderId="214" applyNumberFormat="0" applyAlignment="0" applyProtection="0"/>
    <xf numFmtId="0" fontId="27" fillId="4" borderId="214" applyNumberFormat="0" applyAlignment="0" applyProtection="0"/>
    <xf numFmtId="0" fontId="27" fillId="4" borderId="214" applyNumberFormat="0" applyAlignment="0" applyProtection="0"/>
    <xf numFmtId="0" fontId="27" fillId="4" borderId="214" applyNumberFormat="0" applyAlignment="0" applyProtection="0"/>
    <xf numFmtId="0" fontId="40" fillId="0" borderId="213">
      <alignment horizontal="left" vertical="center"/>
    </xf>
    <xf numFmtId="0" fontId="20" fillId="9" borderId="214" applyNumberFormat="0" applyAlignment="0" applyProtection="0"/>
    <xf numFmtId="0" fontId="20" fillId="9" borderId="214" applyNumberFormat="0" applyAlignment="0" applyProtection="0"/>
    <xf numFmtId="0" fontId="20" fillId="2" borderId="214" applyNumberFormat="0" applyAlignment="0" applyProtection="0"/>
    <xf numFmtId="0" fontId="20" fillId="9" borderId="214" applyNumberFormat="0" applyAlignment="0" applyProtection="0"/>
    <xf numFmtId="0" fontId="32" fillId="0" borderId="218" applyNumberFormat="0" applyFill="0" applyAlignment="0" applyProtection="0"/>
    <xf numFmtId="0" fontId="32" fillId="0" borderId="218" applyNumberFormat="0" applyFill="0" applyAlignment="0" applyProtection="0"/>
    <xf numFmtId="0" fontId="32" fillId="0" borderId="218" applyNumberFormat="0" applyFill="0" applyAlignment="0" applyProtection="0"/>
    <xf numFmtId="0" fontId="32" fillId="0" borderId="217" applyNumberFormat="0" applyFill="0" applyAlignment="0" applyProtection="0"/>
    <xf numFmtId="0" fontId="30" fillId="2" borderId="216" applyNumberFormat="0" applyAlignment="0" applyProtection="0"/>
    <xf numFmtId="0" fontId="14" fillId="6" borderId="215" applyNumberFormat="0" applyFont="0" applyAlignment="0" applyProtection="0"/>
    <xf numFmtId="0" fontId="27" fillId="4" borderId="214" applyNumberFormat="0" applyAlignment="0" applyProtection="0"/>
    <xf numFmtId="0" fontId="76" fillId="0" borderId="218" applyNumberFormat="0" applyFill="0" applyAlignment="0" applyProtection="0">
      <alignment vertical="center"/>
    </xf>
    <xf numFmtId="0" fontId="20" fillId="2" borderId="214" applyNumberFormat="0" applyAlignment="0" applyProtection="0"/>
    <xf numFmtId="0" fontId="14" fillId="6" borderId="215" applyNumberFormat="0" applyFont="0" applyAlignment="0" applyProtection="0"/>
    <xf numFmtId="0" fontId="14" fillId="6" borderId="215" applyNumberFormat="0" applyFont="0" applyAlignment="0" applyProtection="0"/>
    <xf numFmtId="0" fontId="14" fillId="6" borderId="215" applyNumberFormat="0" applyFont="0" applyAlignment="0" applyProtection="0"/>
    <xf numFmtId="0" fontId="14" fillId="6" borderId="215" applyNumberFormat="0" applyFont="0" applyAlignment="0" applyProtection="0"/>
    <xf numFmtId="0" fontId="48" fillId="6" borderId="215" applyNumberFormat="0" applyFont="0" applyAlignment="0" applyProtection="0">
      <alignment vertical="center"/>
    </xf>
    <xf numFmtId="0" fontId="27" fillId="4" borderId="214" applyNumberFormat="0" applyAlignment="0" applyProtection="0"/>
    <xf numFmtId="0" fontId="27" fillId="4" borderId="214" applyNumberFormat="0" applyAlignment="0" applyProtection="0"/>
    <xf numFmtId="0" fontId="27" fillId="4" borderId="214" applyNumberFormat="0" applyAlignment="0" applyProtection="0"/>
    <xf numFmtId="0" fontId="14" fillId="6" borderId="215" applyNumberFormat="0" applyFont="0" applyAlignment="0" applyProtection="0"/>
    <xf numFmtId="0" fontId="14" fillId="6" borderId="215" applyNumberFormat="0" applyFont="0" applyAlignment="0" applyProtection="0"/>
    <xf numFmtId="0" fontId="14" fillId="6" borderId="215" applyNumberFormat="0" applyFont="0" applyAlignment="0" applyProtection="0"/>
    <xf numFmtId="0" fontId="30" fillId="9" borderId="216" applyNumberFormat="0" applyAlignment="0" applyProtection="0"/>
    <xf numFmtId="0" fontId="30" fillId="2" borderId="216" applyNumberFormat="0" applyAlignment="0" applyProtection="0"/>
    <xf numFmtId="0" fontId="30" fillId="9" borderId="216" applyNumberFormat="0" applyAlignment="0" applyProtection="0"/>
    <xf numFmtId="0" fontId="30" fillId="9" borderId="216" applyNumberFormat="0" applyAlignment="0" applyProtection="0"/>
    <xf numFmtId="0" fontId="32" fillId="0" borderId="217" applyNumberFormat="0" applyFill="0" applyAlignment="0" applyProtection="0"/>
    <xf numFmtId="0" fontId="67" fillId="9" borderId="214" applyNumberFormat="0" applyAlignment="0" applyProtection="0">
      <alignment vertical="center"/>
    </xf>
    <xf numFmtId="0" fontId="48" fillId="6" borderId="215" applyNumberFormat="0" applyFont="0" applyAlignment="0" applyProtection="0">
      <alignment vertical="center"/>
    </xf>
    <xf numFmtId="0" fontId="77" fillId="4" borderId="214" applyNumberFormat="0" applyAlignment="0" applyProtection="0">
      <alignment vertical="center"/>
    </xf>
    <xf numFmtId="0" fontId="85" fillId="9" borderId="216" applyNumberFormat="0" applyAlignment="0" applyProtection="0">
      <alignment vertical="center"/>
    </xf>
    <xf numFmtId="10" fontId="54" fillId="19" borderId="219" applyNumberFormat="0" applyBorder="0" applyAlignment="0" applyProtection="0"/>
    <xf numFmtId="10" fontId="54" fillId="19" borderId="219" applyNumberFormat="0" applyBorder="0" applyAlignment="0" applyProtection="0"/>
    <xf numFmtId="43" fontId="12" fillId="0" borderId="0" applyFont="0" applyFill="0" applyBorder="0" applyAlignment="0" applyProtection="0"/>
  </cellStyleXfs>
  <cellXfs count="661">
    <xf numFmtId="0" fontId="0" fillId="0" borderId="0" xfId="0">
      <alignment vertical="center"/>
    </xf>
    <xf numFmtId="0" fontId="40" fillId="0" borderId="0" xfId="60" applyFont="1" applyAlignment="1">
      <alignment vertical="center"/>
    </xf>
    <xf numFmtId="0" fontId="37" fillId="0" borderId="0" xfId="60" applyFont="1" applyAlignment="1">
      <alignment vertical="center"/>
    </xf>
    <xf numFmtId="0" fontId="41" fillId="0" borderId="0" xfId="61" applyFont="1" applyAlignment="1" applyProtection="1">
      <alignment vertical="center"/>
      <protection locked="0"/>
    </xf>
    <xf numFmtId="0" fontId="43" fillId="0" borderId="0" xfId="61" applyFont="1" applyAlignment="1" applyProtection="1">
      <alignment horizontal="centerContinuous" vertical="center"/>
      <protection locked="0"/>
    </xf>
    <xf numFmtId="0" fontId="43" fillId="0" borderId="0" xfId="61" applyFont="1" applyAlignment="1" applyProtection="1">
      <alignment horizontal="centerContinuous" vertical="center" wrapText="1"/>
      <protection locked="0"/>
    </xf>
    <xf numFmtId="0" fontId="41" fillId="0" borderId="0" xfId="61" applyFont="1" applyAlignment="1" applyProtection="1">
      <alignment horizontal="center" vertical="center"/>
      <protection locked="0"/>
    </xf>
    <xf numFmtId="170" fontId="41" fillId="0" borderId="0" xfId="62" applyNumberFormat="1" applyFont="1" applyFill="1" applyBorder="1" applyAlignment="1" applyProtection="1">
      <alignment horizontal="center" vertical="center"/>
      <protection locked="0"/>
    </xf>
    <xf numFmtId="1" fontId="41" fillId="0" borderId="0" xfId="62" applyNumberFormat="1" applyFont="1" applyFill="1" applyBorder="1" applyAlignment="1" applyProtection="1">
      <alignment horizontal="center" vertical="center"/>
      <protection locked="0"/>
    </xf>
    <xf numFmtId="176" fontId="42" fillId="0" borderId="0" xfId="63" applyNumberFormat="1" applyFont="1" applyAlignment="1">
      <alignment horizontal="center" vertical="center"/>
    </xf>
    <xf numFmtId="0" fontId="46" fillId="0" borderId="0" xfId="61" applyFont="1" applyAlignment="1" applyProtection="1">
      <alignment horizontal="centerContinuous" vertical="center"/>
      <protection locked="0"/>
    </xf>
    <xf numFmtId="0" fontId="46" fillId="0" borderId="0" xfId="61" applyFont="1" applyAlignment="1" applyProtection="1">
      <alignment horizontal="centerContinuous" vertical="center" wrapText="1"/>
      <protection locked="0"/>
    </xf>
    <xf numFmtId="0" fontId="46" fillId="0" borderId="0" xfId="61" applyFont="1" applyAlignment="1" applyProtection="1">
      <alignment horizontal="left" vertical="center"/>
      <protection locked="0"/>
    </xf>
    <xf numFmtId="0" fontId="40" fillId="0" borderId="0" xfId="61" applyFont="1" applyAlignment="1" applyProtection="1">
      <alignment horizontal="centerContinuous" vertical="center"/>
      <protection locked="0"/>
    </xf>
    <xf numFmtId="0" fontId="40" fillId="0" borderId="0" xfId="61" applyFont="1" applyAlignment="1" applyProtection="1">
      <alignment horizontal="centerContinuous" vertical="center" wrapText="1"/>
      <protection locked="0"/>
    </xf>
    <xf numFmtId="0" fontId="46" fillId="0" borderId="0" xfId="61" applyFont="1" applyAlignment="1" applyProtection="1">
      <alignment horizontal="center" vertical="center"/>
      <protection locked="0"/>
    </xf>
    <xf numFmtId="0" fontId="46" fillId="0" borderId="0" xfId="61" applyFont="1" applyAlignment="1" applyProtection="1">
      <alignment horizontal="center" vertical="center" wrapText="1"/>
      <protection locked="0"/>
    </xf>
    <xf numFmtId="0" fontId="14" fillId="0" borderId="0" xfId="61" applyFont="1"/>
    <xf numFmtId="0" fontId="89" fillId="0" borderId="0" xfId="61" applyFont="1"/>
    <xf numFmtId="0" fontId="37" fillId="0" borderId="0" xfId="61" applyFont="1" applyAlignment="1">
      <alignment vertical="center"/>
    </xf>
    <xf numFmtId="0" fontId="14" fillId="0" borderId="0" xfId="63" applyFont="1" applyAlignment="1">
      <alignment vertical="center"/>
    </xf>
    <xf numFmtId="0" fontId="37" fillId="0" borderId="0" xfId="61" applyFont="1"/>
    <xf numFmtId="164" fontId="41" fillId="0" borderId="0" xfId="29" applyFont="1">
      <alignment vertical="center"/>
    </xf>
    <xf numFmtId="0" fontId="41" fillId="0" borderId="0" xfId="0" applyFont="1">
      <alignment vertical="center"/>
    </xf>
    <xf numFmtId="0" fontId="39" fillId="0" borderId="0" xfId="0" applyFont="1">
      <alignment vertical="center"/>
    </xf>
    <xf numFmtId="164" fontId="39" fillId="0" borderId="0" xfId="29" applyFont="1">
      <alignment vertical="center"/>
    </xf>
    <xf numFmtId="0" fontId="92" fillId="0" borderId="0" xfId="0" applyFont="1">
      <alignment vertical="center"/>
    </xf>
    <xf numFmtId="164" fontId="92" fillId="0" borderId="0" xfId="29" applyFont="1">
      <alignment vertical="center"/>
    </xf>
    <xf numFmtId="0" fontId="93" fillId="0" borderId="0" xfId="0" applyFont="1">
      <alignment vertical="center"/>
    </xf>
    <xf numFmtId="0" fontId="94" fillId="0" borderId="0" xfId="0" applyFont="1">
      <alignment vertical="center"/>
    </xf>
    <xf numFmtId="0" fontId="93" fillId="0" borderId="0" xfId="0" applyFont="1" applyAlignment="1">
      <alignment horizontal="right" vertical="center"/>
    </xf>
    <xf numFmtId="164" fontId="93" fillId="0" borderId="0" xfId="29" applyFont="1">
      <alignment vertical="center"/>
    </xf>
    <xf numFmtId="0" fontId="37" fillId="0" borderId="0" xfId="0" applyFont="1">
      <alignment vertical="center"/>
    </xf>
    <xf numFmtId="0" fontId="93" fillId="0" borderId="16" xfId="0" applyFont="1" applyBorder="1" applyAlignment="1">
      <alignment horizontal="center" vertical="center"/>
    </xf>
    <xf numFmtId="0" fontId="93" fillId="0" borderId="17" xfId="0" applyFont="1" applyBorder="1" applyAlignment="1">
      <alignment horizontal="center" vertical="center"/>
    </xf>
    <xf numFmtId="0" fontId="93" fillId="0" borderId="16" xfId="0" applyFont="1" applyBorder="1" applyAlignment="1">
      <alignment horizontal="center" vertical="center" wrapText="1"/>
    </xf>
    <xf numFmtId="0" fontId="93" fillId="0" borderId="18" xfId="0" applyFont="1" applyBorder="1" applyAlignment="1">
      <alignment horizontal="center" vertical="center" wrapText="1"/>
    </xf>
    <xf numFmtId="166" fontId="93" fillId="18" borderId="25" xfId="36" applyFont="1" applyFill="1" applyBorder="1" applyAlignment="1">
      <alignment horizontal="center" vertical="center"/>
    </xf>
    <xf numFmtId="0" fontId="93" fillId="0" borderId="33" xfId="0" applyFont="1" applyBorder="1" applyAlignment="1">
      <alignment horizontal="center" vertical="center"/>
    </xf>
    <xf numFmtId="0" fontId="93" fillId="0" borderId="35" xfId="0" applyFont="1" applyBorder="1" applyAlignment="1">
      <alignment horizontal="center" vertical="center"/>
    </xf>
    <xf numFmtId="0" fontId="93" fillId="0" borderId="15" xfId="0" applyFont="1" applyBorder="1" applyAlignment="1">
      <alignment horizontal="center" vertical="center"/>
    </xf>
    <xf numFmtId="0" fontId="93" fillId="0" borderId="41" xfId="0" applyFont="1" applyBorder="1" applyAlignment="1">
      <alignment horizontal="center" vertical="center"/>
    </xf>
    <xf numFmtId="0" fontId="93" fillId="18" borderId="43" xfId="0" applyFont="1" applyFill="1" applyBorder="1" applyAlignment="1">
      <alignment horizontal="center" vertical="center"/>
    </xf>
    <xf numFmtId="0" fontId="96" fillId="0" borderId="0" xfId="0" applyFont="1">
      <alignment vertical="center"/>
    </xf>
    <xf numFmtId="164" fontId="93" fillId="0" borderId="0" xfId="0" applyNumberFormat="1" applyFont="1">
      <alignment vertical="center"/>
    </xf>
    <xf numFmtId="164" fontId="92" fillId="0" borderId="0" xfId="0" applyNumberFormat="1" applyFont="1">
      <alignment vertical="center"/>
    </xf>
    <xf numFmtId="174" fontId="97" fillId="0" borderId="54" xfId="0" applyNumberFormat="1" applyFont="1" applyBorder="1" applyAlignment="1">
      <alignment horizontal="center" vertical="center" wrapText="1"/>
    </xf>
    <xf numFmtId="173" fontId="97" fillId="0" borderId="54" xfId="0" applyNumberFormat="1" applyFont="1" applyBorder="1" applyAlignment="1">
      <alignment horizontal="center" vertical="center" wrapText="1"/>
    </xf>
    <xf numFmtId="0" fontId="93" fillId="0" borderId="84" xfId="0" applyFont="1" applyBorder="1" applyAlignment="1">
      <alignment horizontal="center" vertical="center" wrapText="1"/>
    </xf>
    <xf numFmtId="0" fontId="93" fillId="0" borderId="85" xfId="0" applyFont="1" applyBorder="1" applyAlignment="1">
      <alignment horizontal="center" vertical="center" wrapText="1"/>
    </xf>
    <xf numFmtId="0" fontId="93" fillId="0" borderId="17" xfId="0" applyFont="1" applyBorder="1" applyAlignment="1">
      <alignment horizontal="center" vertical="center" wrapText="1"/>
    </xf>
    <xf numFmtId="0" fontId="93" fillId="0" borderId="40" xfId="0" applyFont="1" applyBorder="1" applyAlignment="1">
      <alignment horizontal="center" vertical="center"/>
    </xf>
    <xf numFmtId="0" fontId="93" fillId="18" borderId="39" xfId="0" applyFont="1" applyFill="1" applyBorder="1" applyAlignment="1">
      <alignment horizontal="center" vertical="center"/>
    </xf>
    <xf numFmtId="164" fontId="41" fillId="0" borderId="0" xfId="29" applyFont="1" applyFill="1">
      <alignment vertical="center"/>
    </xf>
    <xf numFmtId="164" fontId="92" fillId="0" borderId="0" xfId="29" applyFont="1" applyBorder="1">
      <alignment vertical="center"/>
    </xf>
    <xf numFmtId="164" fontId="41" fillId="0" borderId="0" xfId="29" applyFont="1" applyBorder="1">
      <alignment vertical="center"/>
    </xf>
    <xf numFmtId="0" fontId="93" fillId="19" borderId="0" xfId="0" applyFont="1" applyFill="1">
      <alignment vertical="center"/>
    </xf>
    <xf numFmtId="167" fontId="93" fillId="0" borderId="63" xfId="28" applyNumberFormat="1" applyFont="1" applyFill="1" applyBorder="1" applyAlignment="1">
      <alignment horizontal="center" vertical="center"/>
    </xf>
    <xf numFmtId="167" fontId="93" fillId="0" borderId="63" xfId="28" applyNumberFormat="1" applyFont="1" applyFill="1" applyBorder="1" applyAlignment="1">
      <alignment horizontal="center" vertical="center" wrapText="1"/>
    </xf>
    <xf numFmtId="0" fontId="14" fillId="0" borderId="0" xfId="0" applyFont="1">
      <alignment vertical="center"/>
    </xf>
    <xf numFmtId="169" fontId="93" fillId="0" borderId="52" xfId="0" applyNumberFormat="1" applyFont="1" applyBorder="1" applyAlignment="1">
      <alignment horizontal="center" vertical="center"/>
    </xf>
    <xf numFmtId="0" fontId="93" fillId="0" borderId="64" xfId="0" applyFont="1" applyBorder="1" applyAlignment="1">
      <alignment horizontal="center" vertical="center"/>
    </xf>
    <xf numFmtId="167" fontId="93" fillId="0" borderId="0" xfId="28" applyNumberFormat="1" applyFont="1" applyFill="1" applyBorder="1" applyAlignment="1">
      <alignment horizontal="center" vertical="center"/>
    </xf>
    <xf numFmtId="169" fontId="93" fillId="0" borderId="64" xfId="0" applyNumberFormat="1" applyFont="1" applyBorder="1" applyAlignment="1">
      <alignment horizontal="center" vertical="center"/>
    </xf>
    <xf numFmtId="167" fontId="93" fillId="0" borderId="0" xfId="28" applyNumberFormat="1" applyFont="1" applyFill="1" applyAlignment="1">
      <alignment horizontal="center" vertical="center"/>
    </xf>
    <xf numFmtId="164" fontId="41" fillId="0" borderId="0" xfId="0" applyNumberFormat="1" applyFont="1">
      <alignment vertical="center"/>
    </xf>
    <xf numFmtId="0" fontId="94" fillId="0" borderId="14" xfId="0" applyFont="1" applyBorder="1">
      <alignment vertical="center"/>
    </xf>
    <xf numFmtId="0" fontId="93" fillId="0" borderId="12" xfId="0" applyFont="1" applyBorder="1">
      <alignment vertical="center"/>
    </xf>
    <xf numFmtId="0" fontId="93" fillId="0" borderId="13" xfId="0" applyFont="1" applyBorder="1">
      <alignment vertical="center"/>
    </xf>
    <xf numFmtId="172" fontId="94" fillId="0" borderId="12" xfId="0" applyNumberFormat="1" applyFont="1" applyBorder="1">
      <alignment vertical="center"/>
    </xf>
    <xf numFmtId="0" fontId="90" fillId="0" borderId="11" xfId="0" applyFont="1" applyBorder="1" applyAlignment="1">
      <alignment horizontal="center" vertical="center"/>
    </xf>
    <xf numFmtId="0" fontId="93" fillId="0" borderId="80" xfId="0" applyFont="1" applyBorder="1">
      <alignment vertical="center"/>
    </xf>
    <xf numFmtId="0" fontId="93" fillId="0" borderId="81" xfId="0" applyFont="1" applyBorder="1">
      <alignment vertical="center"/>
    </xf>
    <xf numFmtId="0" fontId="93" fillId="0" borderId="82" xfId="0" applyFont="1" applyBorder="1">
      <alignment vertical="center"/>
    </xf>
    <xf numFmtId="0" fontId="93" fillId="0" borderId="97" xfId="0" applyFont="1" applyBorder="1">
      <alignment vertical="center"/>
    </xf>
    <xf numFmtId="0" fontId="93" fillId="0" borderId="89" xfId="0" applyFont="1" applyBorder="1">
      <alignment vertical="center"/>
    </xf>
    <xf numFmtId="0" fontId="93" fillId="0" borderId="98" xfId="0" applyFont="1" applyBorder="1">
      <alignment vertical="center"/>
    </xf>
    <xf numFmtId="0" fontId="54" fillId="0" borderId="81" xfId="0" applyFont="1" applyBorder="1">
      <alignment vertical="center"/>
    </xf>
    <xf numFmtId="0" fontId="93" fillId="0" borderId="37" xfId="0" applyFont="1" applyBorder="1" applyAlignment="1">
      <alignment horizontal="center" vertical="center"/>
    </xf>
    <xf numFmtId="164" fontId="99" fillId="0" borderId="11" xfId="29" applyFont="1" applyFill="1" applyBorder="1" applyAlignment="1">
      <alignment vertical="center"/>
    </xf>
    <xf numFmtId="164" fontId="100" fillId="0" borderId="11" xfId="29" applyFont="1" applyFill="1" applyBorder="1" applyAlignment="1">
      <alignment vertical="center"/>
    </xf>
    <xf numFmtId="164" fontId="54" fillId="0" borderId="11" xfId="29" applyFont="1" applyFill="1" applyBorder="1" applyAlignment="1">
      <alignment vertical="center"/>
    </xf>
    <xf numFmtId="171" fontId="94" fillId="0" borderId="0" xfId="0" applyNumberFormat="1" applyFont="1" applyAlignment="1">
      <alignment horizontal="left" vertical="center"/>
    </xf>
    <xf numFmtId="0" fontId="14" fillId="0" borderId="0" xfId="49" applyAlignment="1">
      <alignment vertical="center"/>
    </xf>
    <xf numFmtId="0" fontId="104" fillId="0" borderId="0" xfId="49" applyFont="1" applyAlignment="1">
      <alignment vertical="center"/>
    </xf>
    <xf numFmtId="172" fontId="91" fillId="0" borderId="67" xfId="0" applyNumberFormat="1" applyFont="1" applyBorder="1">
      <alignment vertical="center"/>
    </xf>
    <xf numFmtId="172" fontId="91" fillId="0" borderId="0" xfId="0" applyNumberFormat="1" applyFont="1">
      <alignment vertical="center"/>
    </xf>
    <xf numFmtId="172" fontId="91" fillId="0" borderId="68" xfId="0" applyNumberFormat="1" applyFont="1" applyBorder="1">
      <alignment vertical="center"/>
    </xf>
    <xf numFmtId="172" fontId="91" fillId="0" borderId="69" xfId="0" applyNumberFormat="1" applyFont="1" applyBorder="1">
      <alignment vertical="center"/>
    </xf>
    <xf numFmtId="172" fontId="91" fillId="0" borderId="51" xfId="0" applyNumberFormat="1" applyFont="1" applyBorder="1">
      <alignment vertical="center"/>
    </xf>
    <xf numFmtId="172" fontId="91" fillId="0" borderId="70" xfId="0" applyNumberFormat="1" applyFont="1" applyBorder="1">
      <alignment vertical="center"/>
    </xf>
    <xf numFmtId="167" fontId="93" fillId="18" borderId="24" xfId="29" applyNumberFormat="1" applyFont="1" applyFill="1" applyBorder="1" applyAlignment="1">
      <alignment horizontal="right" vertical="center"/>
    </xf>
    <xf numFmtId="167" fontId="93" fillId="0" borderId="65" xfId="29" applyNumberFormat="1" applyFont="1" applyFill="1" applyBorder="1" applyAlignment="1">
      <alignment horizontal="right" vertical="center"/>
    </xf>
    <xf numFmtId="167" fontId="93" fillId="0" borderId="36" xfId="29" applyNumberFormat="1" applyFont="1" applyFill="1" applyBorder="1" applyAlignment="1">
      <alignment horizontal="right" vertical="center"/>
    </xf>
    <xf numFmtId="167" fontId="94" fillId="18" borderId="20" xfId="29" applyNumberFormat="1" applyFont="1" applyFill="1" applyBorder="1" applyAlignment="1">
      <alignment horizontal="right" vertical="center"/>
    </xf>
    <xf numFmtId="167" fontId="94" fillId="18" borderId="23" xfId="29" applyNumberFormat="1" applyFont="1" applyFill="1" applyBorder="1" applyAlignment="1">
      <alignment horizontal="right" vertical="center"/>
    </xf>
    <xf numFmtId="167" fontId="93" fillId="0" borderId="52" xfId="29" applyNumberFormat="1" applyFont="1" applyFill="1" applyBorder="1" applyAlignment="1">
      <alignment horizontal="center" vertical="center"/>
    </xf>
    <xf numFmtId="43" fontId="93" fillId="0" borderId="52" xfId="29" applyNumberFormat="1" applyFont="1" applyFill="1" applyBorder="1" applyAlignment="1">
      <alignment horizontal="center" vertical="center"/>
    </xf>
    <xf numFmtId="167" fontId="93" fillId="18" borderId="27" xfId="29" applyNumberFormat="1" applyFont="1" applyFill="1" applyBorder="1" applyAlignment="1">
      <alignment horizontal="right" vertical="center"/>
    </xf>
    <xf numFmtId="167" fontId="93" fillId="0" borderId="99" xfId="29" applyNumberFormat="1" applyFont="1" applyFill="1" applyBorder="1" applyAlignment="1">
      <alignment horizontal="right" vertical="center"/>
    </xf>
    <xf numFmtId="167" fontId="93" fillId="0" borderId="42" xfId="29" applyNumberFormat="1" applyFont="1" applyFill="1" applyBorder="1" applyAlignment="1">
      <alignment horizontal="right" vertical="center"/>
    </xf>
    <xf numFmtId="167" fontId="93" fillId="18" borderId="46" xfId="29" applyNumberFormat="1" applyFont="1" applyFill="1" applyBorder="1" applyAlignment="1">
      <alignment horizontal="right" vertical="center"/>
    </xf>
    <xf numFmtId="167" fontId="93" fillId="18" borderId="47" xfId="29" applyNumberFormat="1" applyFont="1" applyFill="1" applyBorder="1" applyAlignment="1">
      <alignment horizontal="right" vertical="center"/>
    </xf>
    <xf numFmtId="167" fontId="93" fillId="18" borderId="48" xfId="29" applyNumberFormat="1" applyFont="1" applyFill="1" applyBorder="1" applyAlignment="1">
      <alignment horizontal="right" vertical="center"/>
    </xf>
    <xf numFmtId="167" fontId="94" fillId="18" borderId="22" xfId="29" applyNumberFormat="1" applyFont="1" applyFill="1" applyBorder="1" applyAlignment="1">
      <alignment horizontal="right" vertical="center"/>
    </xf>
    <xf numFmtId="190" fontId="93" fillId="18" borderId="26" xfId="0" applyNumberFormat="1" applyFont="1" applyFill="1" applyBorder="1" applyAlignment="1">
      <alignment horizontal="right" vertical="center"/>
    </xf>
    <xf numFmtId="190" fontId="93" fillId="0" borderId="28" xfId="0" applyNumberFormat="1" applyFont="1" applyBorder="1" applyAlignment="1">
      <alignment horizontal="right" vertical="center"/>
    </xf>
    <xf numFmtId="190" fontId="93" fillId="0" borderId="29" xfId="0" applyNumberFormat="1" applyFont="1" applyBorder="1" applyAlignment="1">
      <alignment horizontal="right" vertical="center"/>
    </xf>
    <xf numFmtId="190" fontId="93" fillId="0" borderId="32" xfId="0" applyNumberFormat="1" applyFont="1" applyBorder="1" applyAlignment="1">
      <alignment horizontal="right" vertical="center"/>
    </xf>
    <xf numFmtId="190" fontId="93" fillId="0" borderId="33" xfId="0" applyNumberFormat="1" applyFont="1" applyBorder="1" applyAlignment="1">
      <alignment horizontal="right" vertical="center"/>
    </xf>
    <xf numFmtId="190" fontId="93" fillId="0" borderId="65" xfId="0" applyNumberFormat="1" applyFont="1" applyBorder="1" applyAlignment="1">
      <alignment horizontal="right" vertical="center"/>
    </xf>
    <xf numFmtId="190" fontId="93" fillId="0" borderId="37" xfId="0" applyNumberFormat="1" applyFont="1" applyBorder="1" applyAlignment="1">
      <alignment horizontal="right" vertical="center"/>
    </xf>
    <xf numFmtId="190" fontId="93" fillId="18" borderId="24" xfId="0" applyNumberFormat="1" applyFont="1" applyFill="1" applyBorder="1" applyAlignment="1">
      <alignment horizontal="right" vertical="center"/>
    </xf>
    <xf numFmtId="190" fontId="93" fillId="0" borderId="36" xfId="0" applyNumberFormat="1" applyFont="1" applyBorder="1" applyAlignment="1">
      <alignment horizontal="right" vertical="center"/>
    </xf>
    <xf numFmtId="190" fontId="93" fillId="0" borderId="39" xfId="0" applyNumberFormat="1" applyFont="1" applyBorder="1" applyAlignment="1">
      <alignment horizontal="right" vertical="center"/>
    </xf>
    <xf numFmtId="190" fontId="93" fillId="18" borderId="44" xfId="29" applyNumberFormat="1" applyFont="1" applyFill="1" applyBorder="1" applyAlignment="1">
      <alignment horizontal="right" vertical="center"/>
    </xf>
    <xf numFmtId="190" fontId="93" fillId="18" borderId="45" xfId="0" applyNumberFormat="1" applyFont="1" applyFill="1" applyBorder="1" applyAlignment="1">
      <alignment horizontal="right" vertical="center"/>
    </xf>
    <xf numFmtId="190" fontId="94" fillId="18" borderId="20" xfId="0" applyNumberFormat="1" applyFont="1" applyFill="1" applyBorder="1" applyAlignment="1">
      <alignment horizontal="right" vertical="center"/>
    </xf>
    <xf numFmtId="190" fontId="94" fillId="18" borderId="23" xfId="0" applyNumberFormat="1" applyFont="1" applyFill="1" applyBorder="1" applyAlignment="1">
      <alignment horizontal="right" vertical="center"/>
    </xf>
    <xf numFmtId="190" fontId="93" fillId="0" borderId="55" xfId="0" applyNumberFormat="1" applyFont="1" applyBorder="1">
      <alignment vertical="center"/>
    </xf>
    <xf numFmtId="190" fontId="93" fillId="0" borderId="109" xfId="0" applyNumberFormat="1" applyFont="1" applyBorder="1">
      <alignment vertical="center"/>
    </xf>
    <xf numFmtId="190" fontId="93" fillId="18" borderId="39" xfId="0" applyNumberFormat="1" applyFont="1" applyFill="1" applyBorder="1">
      <alignment vertical="center"/>
    </xf>
    <xf numFmtId="190" fontId="93" fillId="0" borderId="31" xfId="0" applyNumberFormat="1" applyFont="1" applyBorder="1">
      <alignment vertical="center"/>
    </xf>
    <xf numFmtId="190" fontId="93" fillId="18" borderId="41" xfId="0" applyNumberFormat="1" applyFont="1" applyFill="1" applyBorder="1">
      <alignment vertical="center"/>
    </xf>
    <xf numFmtId="190" fontId="93" fillId="0" borderId="31" xfId="0" applyNumberFormat="1" applyFont="1" applyBorder="1" applyAlignment="1">
      <alignment horizontal="right" vertical="center"/>
    </xf>
    <xf numFmtId="190" fontId="93" fillId="18" borderId="62" xfId="0" applyNumberFormat="1" applyFont="1" applyFill="1" applyBorder="1">
      <alignment vertical="center"/>
    </xf>
    <xf numFmtId="190" fontId="94" fillId="18" borderId="27" xfId="29" applyNumberFormat="1" applyFont="1" applyFill="1" applyBorder="1">
      <alignment vertical="center"/>
    </xf>
    <xf numFmtId="167" fontId="93" fillId="0" borderId="55" xfId="29" applyNumberFormat="1" applyFont="1" applyBorder="1">
      <alignment vertical="center"/>
    </xf>
    <xf numFmtId="167" fontId="93" fillId="0" borderId="56" xfId="29" applyNumberFormat="1" applyFont="1" applyFill="1" applyBorder="1">
      <alignment vertical="center"/>
    </xf>
    <xf numFmtId="167" fontId="93" fillId="0" borderId="56" xfId="29" applyNumberFormat="1" applyFont="1" applyBorder="1">
      <alignment vertical="center"/>
    </xf>
    <xf numFmtId="167" fontId="93" fillId="0" borderId="106" xfId="29" applyNumberFormat="1" applyFont="1" applyBorder="1">
      <alignment vertical="center"/>
    </xf>
    <xf numFmtId="167" fontId="93" fillId="0" borderId="107" xfId="29" applyNumberFormat="1" applyFont="1" applyBorder="1">
      <alignment vertical="center"/>
    </xf>
    <xf numFmtId="167" fontId="93" fillId="18" borderId="58" xfId="29" applyNumberFormat="1" applyFont="1" applyFill="1" applyBorder="1">
      <alignment vertical="center"/>
    </xf>
    <xf numFmtId="167" fontId="93" fillId="18" borderId="59" xfId="29" applyNumberFormat="1" applyFont="1" applyFill="1" applyBorder="1">
      <alignment vertical="center"/>
    </xf>
    <xf numFmtId="167" fontId="93" fillId="0" borderId="55" xfId="29" applyNumberFormat="1" applyFont="1" applyFill="1" applyBorder="1">
      <alignment vertical="center"/>
    </xf>
    <xf numFmtId="167" fontId="93" fillId="18" borderId="36" xfId="29" applyNumberFormat="1" applyFont="1" applyFill="1" applyBorder="1">
      <alignment vertical="center"/>
    </xf>
    <xf numFmtId="167" fontId="94" fillId="18" borderId="52" xfId="29" applyNumberFormat="1" applyFont="1" applyFill="1" applyBorder="1">
      <alignment vertical="center"/>
    </xf>
    <xf numFmtId="167" fontId="94" fillId="18" borderId="24" xfId="29" applyNumberFormat="1" applyFont="1" applyFill="1" applyBorder="1">
      <alignment vertical="center"/>
    </xf>
    <xf numFmtId="167" fontId="93" fillId="0" borderId="57" xfId="29" applyNumberFormat="1" applyFont="1" applyFill="1" applyBorder="1">
      <alignment vertical="center"/>
    </xf>
    <xf numFmtId="167" fontId="93" fillId="0" borderId="57" xfId="29" applyNumberFormat="1" applyFont="1" applyBorder="1">
      <alignment vertical="center"/>
    </xf>
    <xf numFmtId="167" fontId="93" fillId="0" borderId="108" xfId="29" applyNumberFormat="1" applyFont="1" applyBorder="1">
      <alignment vertical="center"/>
    </xf>
    <xf numFmtId="167" fontId="93" fillId="0" borderId="106" xfId="29" applyNumberFormat="1" applyFont="1" applyFill="1" applyBorder="1">
      <alignment vertical="center"/>
    </xf>
    <xf numFmtId="167" fontId="94" fillId="18" borderId="26" xfId="29" applyNumberFormat="1" applyFont="1" applyFill="1" applyBorder="1">
      <alignment vertical="center"/>
    </xf>
    <xf numFmtId="0" fontId="37" fillId="0" borderId="80" xfId="60" applyFont="1" applyBorder="1" applyAlignment="1">
      <alignment vertical="center"/>
    </xf>
    <xf numFmtId="0" fontId="37" fillId="0" borderId="81" xfId="60" applyFont="1" applyBorder="1" applyAlignment="1">
      <alignment vertical="center"/>
    </xf>
    <xf numFmtId="0" fontId="37" fillId="0" borderId="82" xfId="60" applyFont="1" applyBorder="1" applyAlignment="1">
      <alignment vertical="center"/>
    </xf>
    <xf numFmtId="0" fontId="37" fillId="0" borderId="12" xfId="60" applyFont="1" applyBorder="1" applyAlignment="1">
      <alignment vertical="center"/>
    </xf>
    <xf numFmtId="0" fontId="37" fillId="0" borderId="13" xfId="60" applyFont="1" applyBorder="1" applyAlignment="1">
      <alignment vertical="center"/>
    </xf>
    <xf numFmtId="0" fontId="39" fillId="0" borderId="12" xfId="61" applyFont="1" applyBorder="1" applyAlignment="1" applyProtection="1">
      <alignment horizontal="centerContinuous" vertical="center"/>
      <protection locked="0"/>
    </xf>
    <xf numFmtId="0" fontId="43" fillId="0" borderId="13" xfId="61" applyFont="1" applyBorder="1" applyAlignment="1">
      <alignment horizontal="centerContinuous" vertical="center"/>
    </xf>
    <xf numFmtId="0" fontId="41" fillId="0" borderId="12" xfId="61" applyFont="1" applyBorder="1" applyAlignment="1" applyProtection="1">
      <alignment vertical="center"/>
      <protection locked="0"/>
    </xf>
    <xf numFmtId="0" fontId="14" fillId="0" borderId="13" xfId="61" applyFont="1" applyBorder="1"/>
    <xf numFmtId="0" fontId="37" fillId="0" borderId="12" xfId="61" applyFont="1" applyBorder="1" applyAlignment="1">
      <alignment vertical="center"/>
    </xf>
    <xf numFmtId="0" fontId="14" fillId="0" borderId="12" xfId="61" applyFont="1" applyBorder="1"/>
    <xf numFmtId="176" fontId="42" fillId="0" borderId="12" xfId="63" applyNumberFormat="1" applyFont="1" applyBorder="1" applyAlignment="1">
      <alignment horizontal="center" vertical="center"/>
    </xf>
    <xf numFmtId="176" fontId="42" fillId="0" borderId="13" xfId="63" applyNumberFormat="1" applyFont="1" applyBorder="1" applyAlignment="1">
      <alignment horizontal="center" vertical="center"/>
    </xf>
    <xf numFmtId="0" fontId="41" fillId="0" borderId="12" xfId="61" applyFont="1" applyBorder="1" applyAlignment="1" applyProtection="1">
      <alignment horizontal="center" vertical="center"/>
      <protection locked="0"/>
    </xf>
    <xf numFmtId="0" fontId="45" fillId="0" borderId="12" xfId="61" applyFont="1" applyBorder="1" applyAlignment="1" applyProtection="1">
      <alignment horizontal="centerContinuous" vertical="center"/>
      <protection locked="0"/>
    </xf>
    <xf numFmtId="0" fontId="46" fillId="0" borderId="12" xfId="61" applyFont="1" applyBorder="1" applyAlignment="1" applyProtection="1">
      <alignment horizontal="centerContinuous" vertical="center"/>
      <protection locked="0"/>
    </xf>
    <xf numFmtId="0" fontId="46" fillId="0" borderId="13" xfId="61" applyFont="1" applyBorder="1" applyAlignment="1">
      <alignment horizontal="centerContinuous" vertical="center"/>
    </xf>
    <xf numFmtId="0" fontId="40" fillId="0" borderId="12" xfId="61" applyFont="1" applyBorder="1" applyAlignment="1" applyProtection="1">
      <alignment horizontal="centerContinuous" vertical="center"/>
      <protection locked="0"/>
    </xf>
    <xf numFmtId="0" fontId="40" fillId="0" borderId="13" xfId="61" applyFont="1" applyBorder="1" applyAlignment="1">
      <alignment horizontal="centerContinuous" vertical="center"/>
    </xf>
    <xf numFmtId="0" fontId="14" fillId="0" borderId="97" xfId="61" applyFont="1" applyBorder="1"/>
    <xf numFmtId="0" fontId="14" fillId="0" borderId="89" xfId="61" applyFont="1" applyBorder="1"/>
    <xf numFmtId="0" fontId="14" fillId="0" borderId="98" xfId="61" applyFont="1" applyBorder="1"/>
    <xf numFmtId="175" fontId="93" fillId="19" borderId="51" xfId="0" applyNumberFormat="1" applyFont="1" applyFill="1" applyBorder="1">
      <alignment vertical="center"/>
    </xf>
    <xf numFmtId="172" fontId="91" fillId="29" borderId="69" xfId="0" applyNumberFormat="1" applyFont="1" applyFill="1" applyBorder="1">
      <alignment vertical="center"/>
    </xf>
    <xf numFmtId="0" fontId="93" fillId="0" borderId="57" xfId="0" applyFont="1" applyBorder="1" applyAlignment="1">
      <alignment horizontal="center" vertical="center"/>
    </xf>
    <xf numFmtId="0" fontId="93" fillId="0" borderId="62" xfId="0" applyFont="1" applyBorder="1" applyAlignment="1">
      <alignment horizontal="center" vertical="center"/>
    </xf>
    <xf numFmtId="0" fontId="93" fillId="18" borderId="51" xfId="0" applyFont="1" applyFill="1" applyBorder="1" applyAlignment="1">
      <alignment horizontal="center" vertical="center"/>
    </xf>
    <xf numFmtId="190" fontId="93" fillId="18" borderId="24" xfId="29" applyNumberFormat="1" applyFont="1" applyFill="1" applyBorder="1" applyAlignment="1">
      <alignment horizontal="right" vertical="center"/>
    </xf>
    <xf numFmtId="190" fontId="93" fillId="18" borderId="26" xfId="29" applyNumberFormat="1" applyFont="1" applyFill="1" applyBorder="1" applyAlignment="1">
      <alignment horizontal="right" vertical="center"/>
    </xf>
    <xf numFmtId="167" fontId="93" fillId="32" borderId="24" xfId="29" applyNumberFormat="1" applyFont="1" applyFill="1" applyBorder="1" applyAlignment="1">
      <alignment horizontal="right" vertical="center"/>
    </xf>
    <xf numFmtId="167" fontId="93" fillId="32" borderId="27" xfId="29" applyNumberFormat="1" applyFont="1" applyFill="1" applyBorder="1" applyAlignment="1">
      <alignment horizontal="right" vertical="center"/>
    </xf>
    <xf numFmtId="37" fontId="93" fillId="32" borderId="27" xfId="29" applyNumberFormat="1" applyFont="1" applyFill="1" applyBorder="1" applyAlignment="1">
      <alignment horizontal="right" vertical="center"/>
    </xf>
    <xf numFmtId="167" fontId="93" fillId="0" borderId="106" xfId="36" applyNumberFormat="1" applyFont="1" applyFill="1" applyBorder="1">
      <alignment vertical="center"/>
    </xf>
    <xf numFmtId="167" fontId="93" fillId="0" borderId="107" xfId="29" applyNumberFormat="1" applyFont="1" applyFill="1" applyBorder="1">
      <alignment vertical="center"/>
    </xf>
    <xf numFmtId="190" fontId="93" fillId="0" borderId="35" xfId="0" applyNumberFormat="1" applyFont="1" applyBorder="1">
      <alignment vertical="center"/>
    </xf>
    <xf numFmtId="167" fontId="93" fillId="0" borderId="108" xfId="29" applyNumberFormat="1" applyFont="1" applyFill="1" applyBorder="1">
      <alignment vertical="center"/>
    </xf>
    <xf numFmtId="164" fontId="90" fillId="0" borderId="91" xfId="29" applyFont="1" applyFill="1" applyBorder="1" applyAlignment="1">
      <alignment horizontal="center" vertical="center"/>
    </xf>
    <xf numFmtId="164" fontId="90" fillId="0" borderId="92" xfId="29" applyFont="1" applyFill="1" applyBorder="1" applyAlignment="1">
      <alignment horizontal="center" vertical="center"/>
    </xf>
    <xf numFmtId="164" fontId="90" fillId="0" borderId="93" xfId="29" applyFont="1" applyFill="1" applyBorder="1" applyAlignment="1">
      <alignment horizontal="center" vertical="center"/>
    </xf>
    <xf numFmtId="164" fontId="54" fillId="0" borderId="92" xfId="29" applyFont="1" applyFill="1" applyBorder="1" applyAlignment="1">
      <alignment horizontal="center" vertical="center"/>
    </xf>
    <xf numFmtId="164" fontId="90" fillId="0" borderId="94" xfId="29" applyFont="1" applyFill="1" applyBorder="1" applyAlignment="1">
      <alignment horizontal="center" vertical="center"/>
    </xf>
    <xf numFmtId="190" fontId="93" fillId="0" borderId="68" xfId="0" applyNumberFormat="1" applyFont="1" applyBorder="1">
      <alignment vertical="center"/>
    </xf>
    <xf numFmtId="190" fontId="108" fillId="0" borderId="67" xfId="0" applyNumberFormat="1" applyFont="1" applyBorder="1">
      <alignment vertical="center"/>
    </xf>
    <xf numFmtId="190" fontId="94" fillId="0" borderId="68" xfId="0" applyNumberFormat="1" applyFont="1" applyBorder="1">
      <alignment vertical="center"/>
    </xf>
    <xf numFmtId="190" fontId="94" fillId="32" borderId="68" xfId="0" applyNumberFormat="1" applyFont="1" applyFill="1" applyBorder="1">
      <alignment vertical="center"/>
    </xf>
    <xf numFmtId="164" fontId="54" fillId="0" borderId="11" xfId="29" applyFont="1" applyBorder="1">
      <alignment vertical="center"/>
    </xf>
    <xf numFmtId="164" fontId="100" fillId="0" borderId="11" xfId="29" applyFont="1" applyBorder="1">
      <alignment vertical="center"/>
    </xf>
    <xf numFmtId="166" fontId="93" fillId="0" borderId="41" xfId="36" applyFont="1" applyFill="1" applyBorder="1" applyAlignment="1">
      <alignment horizontal="center" vertical="center"/>
    </xf>
    <xf numFmtId="190" fontId="93" fillId="0" borderId="36" xfId="29" applyNumberFormat="1" applyFont="1" applyFill="1" applyBorder="1" applyAlignment="1">
      <alignment horizontal="right" vertical="center"/>
    </xf>
    <xf numFmtId="190" fontId="93" fillId="0" borderId="39" xfId="29" applyNumberFormat="1" applyFont="1" applyFill="1" applyBorder="1" applyAlignment="1">
      <alignment horizontal="right" vertical="center"/>
    </xf>
    <xf numFmtId="190" fontId="93" fillId="0" borderId="37" xfId="0" applyNumberFormat="1" applyFont="1" applyBorder="1">
      <alignment vertical="center"/>
    </xf>
    <xf numFmtId="0" fontId="37" fillId="0" borderId="67" xfId="0" applyFont="1" applyBorder="1">
      <alignment vertical="center"/>
    </xf>
    <xf numFmtId="0" fontId="37" fillId="0" borderId="68" xfId="0" applyFont="1" applyBorder="1">
      <alignment vertical="center"/>
    </xf>
    <xf numFmtId="191" fontId="94" fillId="32" borderId="70" xfId="0" applyNumberFormat="1" applyFont="1" applyFill="1" applyBorder="1">
      <alignment vertical="center"/>
    </xf>
    <xf numFmtId="1" fontId="111" fillId="28" borderId="0" xfId="0" applyNumberFormat="1" applyFont="1" applyFill="1" applyAlignment="1"/>
    <xf numFmtId="1" fontId="111" fillId="0" borderId="0" xfId="0" applyNumberFormat="1" applyFont="1" applyAlignment="1"/>
    <xf numFmtId="0" fontId="0" fillId="0" borderId="0" xfId="0" applyAlignment="1"/>
    <xf numFmtId="0" fontId="111" fillId="28" borderId="0" xfId="0" applyFont="1" applyFill="1" applyAlignment="1"/>
    <xf numFmtId="0" fontId="111" fillId="0" borderId="0" xfId="0" applyFont="1" applyAlignment="1"/>
    <xf numFmtId="41" fontId="54" fillId="0" borderId="11" xfId="450" applyFont="1" applyBorder="1" applyAlignment="1">
      <alignment vertical="center"/>
    </xf>
    <xf numFmtId="41" fontId="54" fillId="28" borderId="11" xfId="450" applyFont="1" applyFill="1" applyBorder="1" applyAlignment="1">
      <alignment vertical="center"/>
    </xf>
    <xf numFmtId="167" fontId="93" fillId="18" borderId="40" xfId="29" applyNumberFormat="1" applyFont="1" applyFill="1" applyBorder="1" applyAlignment="1">
      <alignment horizontal="right" vertical="center"/>
    </xf>
    <xf numFmtId="167" fontId="93" fillId="18" borderId="26" xfId="29" applyNumberFormat="1" applyFont="1" applyFill="1" applyBorder="1" applyAlignment="1">
      <alignment horizontal="right" vertical="center"/>
    </xf>
    <xf numFmtId="167" fontId="93" fillId="0" borderId="32" xfId="29" applyNumberFormat="1" applyFont="1" applyFill="1" applyBorder="1" applyAlignment="1">
      <alignment horizontal="right" vertical="center"/>
    </xf>
    <xf numFmtId="167" fontId="93" fillId="0" borderId="33" xfId="29" applyNumberFormat="1" applyFont="1" applyFill="1" applyBorder="1" applyAlignment="1">
      <alignment horizontal="right" vertical="center"/>
    </xf>
    <xf numFmtId="167" fontId="93" fillId="0" borderId="37" xfId="29" applyNumberFormat="1" applyFont="1" applyFill="1" applyBorder="1" applyAlignment="1">
      <alignment horizontal="right" vertical="center"/>
    </xf>
    <xf numFmtId="167" fontId="93" fillId="0" borderId="39" xfId="29" applyNumberFormat="1" applyFont="1" applyFill="1" applyBorder="1" applyAlignment="1">
      <alignment horizontal="right" vertical="center"/>
    </xf>
    <xf numFmtId="167" fontId="93" fillId="18" borderId="50" xfId="29" applyNumberFormat="1" applyFont="1" applyFill="1" applyBorder="1" applyAlignment="1">
      <alignment horizontal="right" vertical="center"/>
    </xf>
    <xf numFmtId="167" fontId="93" fillId="0" borderId="28" xfId="29" applyNumberFormat="1" applyFont="1" applyFill="1" applyBorder="1" applyAlignment="1">
      <alignment horizontal="right" vertical="center"/>
    </xf>
    <xf numFmtId="167" fontId="93" fillId="0" borderId="29" xfId="29" applyNumberFormat="1" applyFont="1" applyFill="1" applyBorder="1" applyAlignment="1">
      <alignment horizontal="right" vertical="center"/>
    </xf>
    <xf numFmtId="167" fontId="93" fillId="18" borderId="44" xfId="29" applyNumberFormat="1" applyFont="1" applyFill="1" applyBorder="1" applyAlignment="1">
      <alignment horizontal="right" vertical="center"/>
    </xf>
    <xf numFmtId="167" fontId="93" fillId="18" borderId="45" xfId="29" applyNumberFormat="1" applyFont="1" applyFill="1" applyBorder="1" applyAlignment="1">
      <alignment horizontal="right" vertical="center"/>
    </xf>
    <xf numFmtId="167" fontId="95" fillId="18" borderId="24" xfId="29" applyNumberFormat="1" applyFont="1" applyFill="1" applyBorder="1" applyAlignment="1">
      <alignment horizontal="right" vertical="center"/>
    </xf>
    <xf numFmtId="167" fontId="95" fillId="0" borderId="36" xfId="29" applyNumberFormat="1" applyFont="1" applyFill="1" applyBorder="1" applyAlignment="1">
      <alignment horizontal="right" vertical="center"/>
    </xf>
    <xf numFmtId="0" fontId="93" fillId="33" borderId="0" xfId="0" applyFont="1" applyFill="1">
      <alignment vertical="center"/>
    </xf>
    <xf numFmtId="0" fontId="93" fillId="38" borderId="89" xfId="0" applyFont="1" applyFill="1" applyBorder="1">
      <alignment vertical="center"/>
    </xf>
    <xf numFmtId="164" fontId="90" fillId="0" borderId="172" xfId="29" applyFont="1" applyFill="1" applyBorder="1" applyAlignment="1">
      <alignment horizontal="center" vertical="center"/>
    </xf>
    <xf numFmtId="164" fontId="90" fillId="0" borderId="171" xfId="29" applyFont="1" applyFill="1" applyBorder="1" applyAlignment="1">
      <alignment horizontal="center" vertical="center"/>
    </xf>
    <xf numFmtId="164" fontId="90" fillId="0" borderId="178" xfId="29" applyFont="1" applyFill="1" applyBorder="1" applyAlignment="1">
      <alignment horizontal="center" vertical="center"/>
    </xf>
    <xf numFmtId="0" fontId="90" fillId="0" borderId="178" xfId="0" applyFont="1" applyBorder="1" applyAlignment="1">
      <alignment horizontal="center" vertical="center"/>
    </xf>
    <xf numFmtId="164" fontId="90" fillId="0" borderId="178" xfId="29" applyFont="1" applyFill="1" applyBorder="1" applyAlignment="1">
      <alignment vertical="center"/>
    </xf>
    <xf numFmtId="164" fontId="54" fillId="0" borderId="179" xfId="29" applyFont="1" applyFill="1" applyBorder="1" applyAlignment="1">
      <alignment vertical="center"/>
    </xf>
    <xf numFmtId="164" fontId="54" fillId="0" borderId="178" xfId="29" applyFont="1" applyFill="1" applyBorder="1" applyAlignment="1">
      <alignment vertical="center"/>
    </xf>
    <xf numFmtId="0" fontId="54" fillId="0" borderId="178" xfId="29" applyNumberFormat="1" applyFont="1" applyFill="1" applyBorder="1" applyAlignment="1">
      <alignment horizontal="center" vertical="center"/>
    </xf>
    <xf numFmtId="0" fontId="54" fillId="0" borderId="171" xfId="0" applyFont="1" applyBorder="1" applyAlignment="1">
      <alignment horizontal="center" vertical="center"/>
    </xf>
    <xf numFmtId="0" fontId="54" fillId="34" borderId="169" xfId="0" applyFont="1" applyFill="1" applyBorder="1" applyAlignment="1">
      <alignment horizontal="center" vertical="center"/>
    </xf>
    <xf numFmtId="0" fontId="105" fillId="35" borderId="171" xfId="0" applyFont="1" applyFill="1" applyBorder="1" applyAlignment="1">
      <alignment horizontal="center" vertical="center"/>
    </xf>
    <xf numFmtId="0" fontId="54" fillId="34" borderId="171" xfId="0" applyFont="1" applyFill="1" applyBorder="1" applyAlignment="1">
      <alignment horizontal="center" vertical="center"/>
    </xf>
    <xf numFmtId="3" fontId="90" fillId="0" borderId="171" xfId="0" applyNumberFormat="1" applyFont="1" applyBorder="1" applyAlignment="1">
      <alignment horizontal="center" vertical="center"/>
    </xf>
    <xf numFmtId="0" fontId="90" fillId="0" borderId="171" xfId="0" applyFont="1" applyBorder="1" applyAlignment="1">
      <alignment horizontal="center" vertical="center"/>
    </xf>
    <xf numFmtId="164" fontId="54" fillId="0" borderId="169" xfId="29" applyFont="1" applyFill="1" applyBorder="1" applyAlignment="1">
      <alignment horizontal="center" vertical="center"/>
    </xf>
    <xf numFmtId="164" fontId="90" fillId="0" borderId="169" xfId="29" applyFont="1" applyFill="1" applyBorder="1" applyAlignment="1">
      <alignment horizontal="center" vertical="center"/>
    </xf>
    <xf numFmtId="164" fontId="90" fillId="0" borderId="170" xfId="29" applyFont="1" applyFill="1" applyBorder="1" applyAlignment="1">
      <alignment horizontal="center" vertical="center"/>
    </xf>
    <xf numFmtId="164" fontId="93" fillId="0" borderId="49" xfId="29" applyFont="1" applyFill="1" applyBorder="1" applyAlignment="1">
      <alignment horizontal="center" vertical="center"/>
    </xf>
    <xf numFmtId="167" fontId="93" fillId="0" borderId="125" xfId="28" applyNumberFormat="1" applyFont="1" applyFill="1" applyBorder="1" applyAlignment="1">
      <alignment horizontal="center" vertical="center" wrapText="1"/>
    </xf>
    <xf numFmtId="0" fontId="93" fillId="0" borderId="125" xfId="0" applyFont="1" applyBorder="1" applyAlignment="1">
      <alignment horizontal="center" vertical="center"/>
    </xf>
    <xf numFmtId="0" fontId="14" fillId="0" borderId="64" xfId="0" applyFont="1" applyBorder="1">
      <alignment vertical="center"/>
    </xf>
    <xf numFmtId="0" fontId="14" fillId="0" borderId="63" xfId="0" applyFont="1" applyBorder="1">
      <alignment vertical="center"/>
    </xf>
    <xf numFmtId="164" fontId="93" fillId="0" borderId="64" xfId="0" applyNumberFormat="1" applyFont="1" applyBorder="1">
      <alignment vertical="center"/>
    </xf>
    <xf numFmtId="164" fontId="93" fillId="0" borderId="0" xfId="29" applyFont="1" applyFill="1" applyAlignment="1">
      <alignment vertical="center"/>
    </xf>
    <xf numFmtId="0" fontId="14" fillId="0" borderId="0" xfId="0" applyFont="1" applyAlignment="1">
      <alignment horizontal="center" vertical="center"/>
    </xf>
    <xf numFmtId="43" fontId="93" fillId="0" borderId="52" xfId="0" applyNumberFormat="1" applyFont="1" applyBorder="1" applyAlignment="1">
      <alignment horizontal="center" vertical="center"/>
    </xf>
    <xf numFmtId="43" fontId="93" fillId="0" borderId="66" xfId="0" applyNumberFormat="1" applyFont="1" applyBorder="1" applyAlignment="1">
      <alignment horizontal="center" vertical="center"/>
    </xf>
    <xf numFmtId="43" fontId="93" fillId="0" borderId="64" xfId="0" applyNumberFormat="1" applyFont="1" applyBorder="1">
      <alignment vertical="center"/>
    </xf>
    <xf numFmtId="189" fontId="93" fillId="0" borderId="64" xfId="0" applyNumberFormat="1" applyFont="1" applyBorder="1">
      <alignment vertical="center"/>
    </xf>
    <xf numFmtId="192" fontId="93" fillId="0" borderId="99" xfId="0" applyNumberFormat="1" applyFont="1" applyBorder="1" applyAlignment="1">
      <alignment horizontal="right" vertical="center"/>
    </xf>
    <xf numFmtId="192" fontId="93" fillId="18" borderId="42" xfId="0" applyNumberFormat="1" applyFont="1" applyFill="1" applyBorder="1" applyAlignment="1">
      <alignment horizontal="right" vertical="center"/>
    </xf>
    <xf numFmtId="192" fontId="93" fillId="0" borderId="34" xfId="0" applyNumberFormat="1" applyFont="1" applyBorder="1" applyAlignment="1">
      <alignment horizontal="right" vertical="center"/>
    </xf>
    <xf numFmtId="192" fontId="94" fillId="18" borderId="27" xfId="29" applyNumberFormat="1" applyFont="1" applyFill="1" applyBorder="1">
      <alignment vertical="center"/>
    </xf>
    <xf numFmtId="172" fontId="94" fillId="0" borderId="67" xfId="0" applyNumberFormat="1" applyFont="1" applyBorder="1">
      <alignment vertical="center"/>
    </xf>
    <xf numFmtId="164" fontId="93" fillId="0" borderId="67" xfId="29" applyFont="1" applyFill="1" applyBorder="1" applyAlignment="1">
      <alignment vertical="center"/>
    </xf>
    <xf numFmtId="164" fontId="93" fillId="0" borderId="0" xfId="29" applyFont="1" applyFill="1" applyBorder="1" applyAlignment="1">
      <alignment vertical="center"/>
    </xf>
    <xf numFmtId="172" fontId="109" fillId="0" borderId="67" xfId="0" applyNumberFormat="1" applyFont="1" applyBorder="1">
      <alignment vertical="center"/>
    </xf>
    <xf numFmtId="168" fontId="93" fillId="0" borderId="67" xfId="0" applyNumberFormat="1" applyFont="1" applyBorder="1" applyAlignment="1">
      <alignment vertical="center" wrapText="1"/>
    </xf>
    <xf numFmtId="168" fontId="93" fillId="0" borderId="0" xfId="0" applyNumberFormat="1" applyFont="1" applyAlignment="1">
      <alignment vertical="center" wrapText="1"/>
    </xf>
    <xf numFmtId="0" fontId="93" fillId="0" borderId="67" xfId="0" applyFont="1" applyBorder="1">
      <alignment vertical="center"/>
    </xf>
    <xf numFmtId="1" fontId="99" fillId="28" borderId="52" xfId="0" applyNumberFormat="1" applyFont="1" applyFill="1" applyBorder="1" applyAlignment="1">
      <alignment horizontal="left" vertical="center"/>
    </xf>
    <xf numFmtId="15" fontId="112" fillId="0" borderId="89" xfId="0" applyNumberFormat="1" applyFont="1" applyBorder="1" applyAlignment="1"/>
    <xf numFmtId="1" fontId="54" fillId="0" borderId="178" xfId="29" applyNumberFormat="1" applyFont="1" applyFill="1" applyBorder="1" applyAlignment="1">
      <alignment horizontal="center" vertical="center"/>
    </xf>
    <xf numFmtId="1" fontId="90" fillId="0" borderId="171" xfId="0" applyNumberFormat="1" applyFont="1" applyBorder="1" applyAlignment="1">
      <alignment horizontal="center" vertical="center"/>
    </xf>
    <xf numFmtId="164" fontId="93" fillId="0" borderId="0" xfId="29" applyFont="1" applyBorder="1" applyAlignment="1">
      <alignment vertical="center"/>
    </xf>
    <xf numFmtId="167" fontId="93" fillId="0" borderId="32" xfId="29" applyNumberFormat="1" applyFont="1" applyFill="1" applyBorder="1" applyAlignment="1">
      <alignment vertical="center"/>
    </xf>
    <xf numFmtId="167" fontId="93" fillId="0" borderId="34" xfId="29" applyNumberFormat="1" applyFont="1" applyFill="1" applyBorder="1" applyAlignment="1">
      <alignment vertical="center"/>
    </xf>
    <xf numFmtId="190" fontId="93" fillId="0" borderId="33" xfId="0" applyNumberFormat="1" applyFont="1" applyBorder="1">
      <alignment vertical="center"/>
    </xf>
    <xf numFmtId="1" fontId="0" fillId="0" borderId="0" xfId="0" applyNumberFormat="1" applyAlignment="1"/>
    <xf numFmtId="164" fontId="54" fillId="0" borderId="168" xfId="29" applyFont="1" applyFill="1" applyBorder="1" applyAlignment="1">
      <alignment vertical="center"/>
    </xf>
    <xf numFmtId="0" fontId="93" fillId="0" borderId="39" xfId="0" applyFont="1" applyBorder="1" applyAlignment="1">
      <alignment horizontal="center" vertical="center"/>
    </xf>
    <xf numFmtId="167" fontId="93" fillId="0" borderId="58" xfId="29" applyNumberFormat="1" applyFont="1" applyFill="1" applyBorder="1">
      <alignment vertical="center"/>
    </xf>
    <xf numFmtId="167" fontId="93" fillId="0" borderId="36" xfId="29" applyNumberFormat="1" applyFont="1" applyFill="1" applyBorder="1">
      <alignment vertical="center"/>
    </xf>
    <xf numFmtId="190" fontId="93" fillId="0" borderId="62" xfId="0" applyNumberFormat="1" applyFont="1" applyBorder="1">
      <alignment vertical="center"/>
    </xf>
    <xf numFmtId="192" fontId="93" fillId="0" borderId="42" xfId="0" applyNumberFormat="1" applyFont="1" applyBorder="1" applyAlignment="1">
      <alignment horizontal="right" vertical="center"/>
    </xf>
    <xf numFmtId="167" fontId="93" fillId="0" borderId="59" xfId="29" applyNumberFormat="1" applyFont="1" applyFill="1" applyBorder="1">
      <alignment vertical="center"/>
    </xf>
    <xf numFmtId="190" fontId="93" fillId="0" borderId="50" xfId="0" applyNumberFormat="1" applyFont="1" applyBorder="1">
      <alignment vertical="center"/>
    </xf>
    <xf numFmtId="164" fontId="54" fillId="34" borderId="11" xfId="29" applyFont="1" applyFill="1" applyBorder="1" applyAlignment="1">
      <alignment vertical="center"/>
    </xf>
    <xf numFmtId="167" fontId="54" fillId="0" borderId="168" xfId="664" applyNumberFormat="1" applyFont="1" applyFill="1" applyBorder="1" applyAlignment="1">
      <alignment vertical="center"/>
    </xf>
    <xf numFmtId="0" fontId="93" fillId="0" borderId="122" xfId="0" applyFont="1" applyBorder="1" applyAlignment="1">
      <alignment horizontal="center" vertical="center"/>
    </xf>
    <xf numFmtId="167" fontId="93" fillId="0" borderId="121" xfId="29" applyNumberFormat="1" applyFont="1" applyFill="1" applyBorder="1" applyAlignment="1">
      <alignment horizontal="right" vertical="center"/>
    </xf>
    <xf numFmtId="167" fontId="93" fillId="0" borderId="122" xfId="29" applyNumberFormat="1" applyFont="1" applyFill="1" applyBorder="1" applyAlignment="1">
      <alignment horizontal="right" vertical="center"/>
    </xf>
    <xf numFmtId="190" fontId="93" fillId="0" borderId="121" xfId="0" applyNumberFormat="1" applyFont="1" applyBorder="1" applyAlignment="1">
      <alignment horizontal="right" vertical="center"/>
    </xf>
    <xf numFmtId="190" fontId="93" fillId="0" borderId="21" xfId="0" applyNumberFormat="1" applyFont="1" applyBorder="1" applyAlignment="1">
      <alignment horizontal="right" vertical="center"/>
    </xf>
    <xf numFmtId="167" fontId="93" fillId="0" borderId="30" xfId="29" applyNumberFormat="1" applyFont="1" applyFill="1" applyBorder="1" applyAlignment="1">
      <alignment horizontal="right" vertical="center"/>
    </xf>
    <xf numFmtId="0" fontId="93" fillId="0" borderId="76" xfId="0" applyFont="1" applyBorder="1" applyAlignment="1">
      <alignment horizontal="center" vertical="center"/>
    </xf>
    <xf numFmtId="0" fontId="93" fillId="0" borderId="221" xfId="0" applyFont="1" applyBorder="1" applyAlignment="1">
      <alignment horizontal="center" vertical="center"/>
    </xf>
    <xf numFmtId="0" fontId="93" fillId="18" borderId="222" xfId="0" applyFont="1" applyFill="1" applyBorder="1" applyAlignment="1">
      <alignment horizontal="center" vertical="center"/>
    </xf>
    <xf numFmtId="0" fontId="93" fillId="30" borderId="169" xfId="0" applyFont="1" applyFill="1" applyBorder="1">
      <alignment vertical="center"/>
    </xf>
    <xf numFmtId="0" fontId="93" fillId="30" borderId="171" xfId="0" applyFont="1" applyFill="1" applyBorder="1">
      <alignment vertical="center"/>
    </xf>
    <xf numFmtId="0" fontId="93" fillId="0" borderId="169" xfId="0" applyFont="1" applyBorder="1">
      <alignment vertical="center"/>
    </xf>
    <xf numFmtId="0" fontId="93" fillId="0" borderId="171" xfId="0" applyFont="1" applyBorder="1">
      <alignment vertical="center"/>
    </xf>
    <xf numFmtId="164" fontId="90" fillId="0" borderId="11" xfId="29" applyFont="1" applyFill="1" applyBorder="1" applyAlignment="1">
      <alignment vertical="center"/>
    </xf>
    <xf numFmtId="164" fontId="90" fillId="0" borderId="179" xfId="29" applyFont="1" applyFill="1" applyBorder="1" applyAlignment="1">
      <alignment vertical="center"/>
    </xf>
    <xf numFmtId="0" fontId="90" fillId="0" borderId="175" xfId="0" applyFont="1" applyBorder="1" applyAlignment="1">
      <alignment horizontal="center" vertical="center"/>
    </xf>
    <xf numFmtId="172" fontId="91" fillId="0" borderId="223" xfId="0" applyNumberFormat="1" applyFont="1" applyBorder="1">
      <alignment vertical="center"/>
    </xf>
    <xf numFmtId="172" fontId="91" fillId="0" borderId="224" xfId="0" applyNumberFormat="1" applyFont="1" applyBorder="1">
      <alignment vertical="center"/>
    </xf>
    <xf numFmtId="172" fontId="91" fillId="0" borderId="225" xfId="0" applyNumberFormat="1" applyFont="1" applyBorder="1">
      <alignment vertical="center"/>
    </xf>
    <xf numFmtId="167" fontId="93" fillId="0" borderId="178" xfId="29" applyNumberFormat="1" applyFont="1" applyFill="1" applyBorder="1">
      <alignment vertical="center"/>
    </xf>
    <xf numFmtId="190" fontId="93" fillId="0" borderId="178" xfId="0" applyNumberFormat="1" applyFont="1" applyBorder="1">
      <alignment vertical="center"/>
    </xf>
    <xf numFmtId="164" fontId="93" fillId="0" borderId="178" xfId="29" applyFont="1" applyFill="1" applyBorder="1" applyAlignment="1">
      <alignment horizontal="center" vertical="center"/>
    </xf>
    <xf numFmtId="169" fontId="93" fillId="0" borderId="178" xfId="0" applyNumberFormat="1" applyFont="1" applyBorder="1" applyAlignment="1">
      <alignment horizontal="center" vertical="center"/>
    </xf>
    <xf numFmtId="43" fontId="93" fillId="0" borderId="178" xfId="0" applyNumberFormat="1" applyFont="1" applyBorder="1" applyAlignment="1">
      <alignment horizontal="center" vertical="center"/>
    </xf>
    <xf numFmtId="0" fontId="93" fillId="0" borderId="168" xfId="0" applyFont="1" applyBorder="1">
      <alignment vertical="center"/>
    </xf>
    <xf numFmtId="0" fontId="93" fillId="30" borderId="168" xfId="0" applyFont="1" applyFill="1" applyBorder="1">
      <alignment vertical="center"/>
    </xf>
    <xf numFmtId="0" fontId="90" fillId="0" borderId="168" xfId="0" applyFont="1" applyBorder="1" applyAlignment="1">
      <alignment horizontal="center" vertical="center"/>
    </xf>
    <xf numFmtId="164" fontId="54" fillId="0" borderId="168" xfId="29" applyFont="1" applyBorder="1">
      <alignment vertical="center"/>
    </xf>
    <xf numFmtId="164" fontId="54" fillId="34" borderId="168" xfId="29" applyFont="1" applyFill="1" applyBorder="1">
      <alignment vertical="center"/>
    </xf>
    <xf numFmtId="164" fontId="54" fillId="0" borderId="171" xfId="29" applyFont="1" applyFill="1" applyBorder="1" applyAlignment="1">
      <alignment vertical="center"/>
    </xf>
    <xf numFmtId="1" fontId="90" fillId="0" borderId="178" xfId="0" applyNumberFormat="1" applyFont="1" applyBorder="1" applyAlignment="1">
      <alignment horizontal="center" vertical="center"/>
    </xf>
    <xf numFmtId="3" fontId="90" fillId="0" borderId="178" xfId="0" applyNumberFormat="1" applyFont="1" applyBorder="1" applyAlignment="1">
      <alignment horizontal="center" vertical="center"/>
    </xf>
    <xf numFmtId="164" fontId="54" fillId="0" borderId="178" xfId="29" applyFont="1" applyFill="1" applyBorder="1" applyAlignment="1">
      <alignment horizontal="center" vertical="center"/>
    </xf>
    <xf numFmtId="0" fontId="54" fillId="0" borderId="168" xfId="0" applyFont="1" applyBorder="1" applyAlignment="1">
      <alignment horizontal="center" vertical="center"/>
    </xf>
    <xf numFmtId="1" fontId="100" fillId="0" borderId="178" xfId="29" applyNumberFormat="1" applyFont="1" applyFill="1" applyBorder="1" applyAlignment="1">
      <alignment horizontal="center" vertical="center"/>
    </xf>
    <xf numFmtId="3" fontId="100" fillId="0" borderId="178" xfId="29" applyNumberFormat="1" applyFont="1" applyFill="1" applyBorder="1" applyAlignment="1">
      <alignment horizontal="center" vertical="center"/>
    </xf>
    <xf numFmtId="3" fontId="100" fillId="0" borderId="178" xfId="0" applyNumberFormat="1" applyFont="1" applyBorder="1" applyAlignment="1">
      <alignment horizontal="center" vertical="center"/>
    </xf>
    <xf numFmtId="0" fontId="54" fillId="0" borderId="178" xfId="0" applyFont="1" applyBorder="1" applyAlignment="1">
      <alignment horizontal="center" vertical="center"/>
    </xf>
    <xf numFmtId="1" fontId="99" fillId="28" borderId="178" xfId="0" applyNumberFormat="1" applyFont="1" applyFill="1" applyBorder="1" applyAlignment="1">
      <alignment horizontal="left" vertical="center"/>
    </xf>
    <xf numFmtId="187" fontId="90" fillId="0" borderId="171" xfId="0" applyNumberFormat="1" applyFont="1" applyBorder="1" applyAlignment="1">
      <alignment horizontal="center" vertical="center"/>
    </xf>
    <xf numFmtId="1" fontId="54" fillId="0" borderId="171" xfId="49" applyNumberFormat="1" applyFont="1" applyBorder="1" applyAlignment="1">
      <alignment horizontal="center" vertical="center"/>
    </xf>
    <xf numFmtId="187" fontId="54" fillId="0" borderId="171" xfId="49" applyNumberFormat="1" applyFont="1" applyBorder="1" applyAlignment="1">
      <alignment horizontal="center" vertical="center"/>
    </xf>
    <xf numFmtId="0" fontId="93" fillId="18" borderId="231" xfId="0" applyFont="1" applyFill="1" applyBorder="1" applyAlignment="1">
      <alignment horizontal="center" vertical="center"/>
    </xf>
    <xf numFmtId="167" fontId="93" fillId="18" borderId="228" xfId="29" applyNumberFormat="1" applyFont="1" applyFill="1" applyBorder="1" applyAlignment="1">
      <alignment horizontal="right" vertical="center"/>
    </xf>
    <xf numFmtId="167" fontId="93" fillId="18" borderId="230" xfId="29" applyNumberFormat="1" applyFont="1" applyFill="1" applyBorder="1" applyAlignment="1">
      <alignment horizontal="right" vertical="center"/>
    </xf>
    <xf numFmtId="190" fontId="93" fillId="18" borderId="228" xfId="29" applyNumberFormat="1" applyFont="1" applyFill="1" applyBorder="1" applyAlignment="1">
      <alignment horizontal="right" vertical="center"/>
    </xf>
    <xf numFmtId="190" fontId="93" fillId="18" borderId="230" xfId="29" applyNumberFormat="1" applyFont="1" applyFill="1" applyBorder="1" applyAlignment="1">
      <alignment horizontal="right" vertical="center"/>
    </xf>
    <xf numFmtId="167" fontId="93" fillId="18" borderId="229" xfId="29" applyNumberFormat="1" applyFont="1" applyFill="1" applyBorder="1" applyAlignment="1">
      <alignment horizontal="right" vertical="center"/>
    </xf>
    <xf numFmtId="190" fontId="93" fillId="18" borderId="230" xfId="0" applyNumberFormat="1" applyFont="1" applyFill="1" applyBorder="1" applyAlignment="1">
      <alignment horizontal="right" vertical="center"/>
    </xf>
    <xf numFmtId="0" fontId="93" fillId="0" borderId="232" xfId="0" applyFont="1" applyBorder="1">
      <alignment vertical="center"/>
    </xf>
    <xf numFmtId="167" fontId="93" fillId="0" borderId="167" xfId="28" applyNumberFormat="1" applyFont="1" applyFill="1" applyBorder="1" applyAlignment="1">
      <alignment horizontal="center" vertical="center" wrapText="1"/>
    </xf>
    <xf numFmtId="0" fontId="93" fillId="0" borderId="167" xfId="0" applyFont="1" applyBorder="1" applyAlignment="1">
      <alignment horizontal="center" vertical="center"/>
    </xf>
    <xf numFmtId="0" fontId="93" fillId="0" borderId="167" xfId="0" applyFont="1" applyBorder="1">
      <alignment vertical="center"/>
    </xf>
    <xf numFmtId="190" fontId="94" fillId="18" borderId="167" xfId="0" applyNumberFormat="1" applyFont="1" applyFill="1" applyBorder="1">
      <alignment vertical="center"/>
    </xf>
    <xf numFmtId="0" fontId="41" fillId="0" borderId="173" xfId="0" applyFont="1" applyBorder="1">
      <alignment vertical="center"/>
    </xf>
    <xf numFmtId="167" fontId="93" fillId="0" borderId="167" xfId="28" applyNumberFormat="1" applyFont="1" applyFill="1" applyBorder="1" applyAlignment="1">
      <alignment horizontal="center" vertical="center"/>
    </xf>
    <xf numFmtId="1" fontId="93" fillId="0" borderId="167" xfId="0" applyNumberFormat="1" applyFont="1" applyBorder="1">
      <alignment vertical="center"/>
    </xf>
    <xf numFmtId="0" fontId="14" fillId="0" borderId="167" xfId="0" applyFont="1" applyBorder="1">
      <alignment vertical="center"/>
    </xf>
    <xf numFmtId="1" fontId="98" fillId="0" borderId="167" xfId="43" applyNumberFormat="1" applyFont="1" applyFill="1" applyBorder="1" applyAlignment="1" applyProtection="1">
      <alignment vertical="center"/>
    </xf>
    <xf numFmtId="169" fontId="93" fillId="0" borderId="167" xfId="0" applyNumberFormat="1" applyFont="1" applyBorder="1" applyAlignment="1">
      <alignment horizontal="center" vertical="center"/>
    </xf>
    <xf numFmtId="43" fontId="93" fillId="0" borderId="167" xfId="0" applyNumberFormat="1" applyFont="1" applyBorder="1" applyAlignment="1">
      <alignment horizontal="center" vertical="center"/>
    </xf>
    <xf numFmtId="0" fontId="90" fillId="0" borderId="167" xfId="0" applyFont="1" applyBorder="1" applyAlignment="1">
      <alignment horizontal="center" vertical="center"/>
    </xf>
    <xf numFmtId="0" fontId="54" fillId="0" borderId="167" xfId="0" applyFont="1" applyBorder="1" applyAlignment="1">
      <alignment horizontal="center" vertical="center"/>
    </xf>
    <xf numFmtId="0" fontId="105" fillId="33" borderId="167" xfId="0" applyFont="1" applyFill="1" applyBorder="1" applyAlignment="1">
      <alignment horizontal="center" vertical="center"/>
    </xf>
    <xf numFmtId="164" fontId="100" fillId="0" borderId="167" xfId="29" applyFont="1" applyFill="1" applyBorder="1" applyAlignment="1">
      <alignment vertical="center"/>
    </xf>
    <xf numFmtId="1" fontId="54" fillId="0" borderId="167" xfId="29" applyNumberFormat="1" applyFont="1" applyFill="1" applyBorder="1" applyAlignment="1">
      <alignment horizontal="center" vertical="center"/>
    </xf>
    <xf numFmtId="3" fontId="54" fillId="0" borderId="167" xfId="29" applyNumberFormat="1" applyFont="1" applyFill="1" applyBorder="1" applyAlignment="1">
      <alignment horizontal="center" vertical="center"/>
    </xf>
    <xf numFmtId="0" fontId="100" fillId="0" borderId="167" xfId="0" applyFont="1" applyBorder="1" applyAlignment="1">
      <alignment horizontal="center" vertical="center"/>
    </xf>
    <xf numFmtId="164" fontId="54" fillId="0" borderId="167" xfId="29" applyFont="1" applyFill="1" applyBorder="1" applyAlignment="1">
      <alignment vertical="center"/>
    </xf>
    <xf numFmtId="164" fontId="54" fillId="0" borderId="167" xfId="29" applyFont="1" applyBorder="1">
      <alignment vertical="center"/>
    </xf>
    <xf numFmtId="1" fontId="54" fillId="0" borderId="167" xfId="29" applyNumberFormat="1" applyFont="1" applyBorder="1" applyAlignment="1">
      <alignment horizontal="center" vertical="center"/>
    </xf>
    <xf numFmtId="3" fontId="54" fillId="0" borderId="167" xfId="29" applyNumberFormat="1" applyFont="1" applyBorder="1" applyAlignment="1">
      <alignment horizontal="center" vertical="center"/>
    </xf>
    <xf numFmtId="0" fontId="54" fillId="34" borderId="167" xfId="0" applyFont="1" applyFill="1" applyBorder="1" applyAlignment="1">
      <alignment horizontal="center" vertical="center"/>
    </xf>
    <xf numFmtId="0" fontId="99" fillId="0" borderId="167" xfId="0" applyFont="1" applyBorder="1" applyAlignment="1">
      <alignment horizontal="center" vertical="center"/>
    </xf>
    <xf numFmtId="1" fontId="54" fillId="0" borderId="167" xfId="0" applyNumberFormat="1" applyFont="1" applyBorder="1" applyAlignment="1">
      <alignment horizontal="center" vertical="center"/>
    </xf>
    <xf numFmtId="1" fontId="99" fillId="0" borderId="167" xfId="0" applyNumberFormat="1" applyFont="1" applyBorder="1" applyAlignment="1">
      <alignment horizontal="center" vertical="center"/>
    </xf>
    <xf numFmtId="1" fontId="115" fillId="28" borderId="167" xfId="28" applyNumberFormat="1" applyFont="1" applyFill="1" applyBorder="1" applyAlignment="1">
      <alignment horizontal="right" vertical="center"/>
    </xf>
    <xf numFmtId="167" fontId="115" fillId="28" borderId="167" xfId="28" applyNumberFormat="1" applyFont="1" applyFill="1" applyBorder="1" applyAlignment="1">
      <alignment horizontal="right" vertical="center"/>
    </xf>
    <xf numFmtId="0" fontId="105" fillId="35" borderId="167" xfId="0" applyFont="1" applyFill="1" applyBorder="1" applyAlignment="1">
      <alignment horizontal="center" vertical="center"/>
    </xf>
    <xf numFmtId="1" fontId="100" fillId="0" borderId="167" xfId="0" applyNumberFormat="1" applyFont="1" applyBorder="1" applyAlignment="1">
      <alignment horizontal="center" vertical="center"/>
    </xf>
    <xf numFmtId="1" fontId="90" fillId="0" borderId="167" xfId="0" applyNumberFormat="1" applyFont="1" applyBorder="1" applyAlignment="1">
      <alignment horizontal="center" vertical="center"/>
    </xf>
    <xf numFmtId="3" fontId="90" fillId="0" borderId="167" xfId="0" applyNumberFormat="1" applyFont="1" applyBorder="1" applyAlignment="1">
      <alignment horizontal="center" vertical="center"/>
    </xf>
    <xf numFmtId="3" fontId="99" fillId="0" borderId="167" xfId="0" applyNumberFormat="1" applyFont="1" applyBorder="1" applyAlignment="1">
      <alignment horizontal="center" vertical="center"/>
    </xf>
    <xf numFmtId="3" fontId="54" fillId="0" borderId="167" xfId="0" applyNumberFormat="1" applyFont="1" applyBorder="1" applyAlignment="1">
      <alignment horizontal="center" vertical="center"/>
    </xf>
    <xf numFmtId="164" fontId="101" fillId="0" borderId="167" xfId="29" applyFont="1" applyFill="1" applyBorder="1" applyAlignment="1">
      <alignment vertical="center"/>
    </xf>
    <xf numFmtId="164" fontId="99" fillId="0" borderId="167" xfId="29" applyFont="1" applyFill="1" applyBorder="1" applyAlignment="1">
      <alignment vertical="center"/>
    </xf>
    <xf numFmtId="0" fontId="54" fillId="28" borderId="167" xfId="0" applyFont="1" applyFill="1" applyBorder="1" applyAlignment="1">
      <alignment horizontal="center" vertical="center"/>
    </xf>
    <xf numFmtId="164" fontId="90" fillId="0" borderId="174" xfId="29" applyFont="1" applyFill="1" applyBorder="1" applyAlignment="1">
      <alignment vertical="center"/>
    </xf>
    <xf numFmtId="3" fontId="54" fillId="0" borderId="167" xfId="29" quotePrefix="1" applyNumberFormat="1" applyFont="1" applyFill="1" applyBorder="1" applyAlignment="1">
      <alignment horizontal="center" vertical="center"/>
    </xf>
    <xf numFmtId="164" fontId="54" fillId="34" borderId="167" xfId="29" applyFont="1" applyFill="1" applyBorder="1" applyAlignment="1">
      <alignment vertical="center"/>
    </xf>
    <xf numFmtId="1" fontId="54" fillId="0" borderId="167" xfId="29" applyNumberFormat="1" applyFont="1" applyFill="1" applyBorder="1" applyAlignment="1">
      <alignment vertical="center"/>
    </xf>
    <xf numFmtId="0" fontId="105" fillId="36" borderId="167" xfId="0" applyFont="1" applyFill="1" applyBorder="1" applyAlignment="1">
      <alignment horizontal="center" vertical="center"/>
    </xf>
    <xf numFmtId="188" fontId="54" fillId="0" borderId="167" xfId="0" applyNumberFormat="1" applyFont="1" applyBorder="1" applyAlignment="1">
      <alignment horizontal="center" vertical="center"/>
    </xf>
    <xf numFmtId="187" fontId="54" fillId="0" borderId="167" xfId="29" applyNumberFormat="1" applyFont="1" applyFill="1" applyBorder="1" applyAlignment="1">
      <alignment vertical="center"/>
    </xf>
    <xf numFmtId="3" fontId="110" fillId="0" borderId="167" xfId="0" applyNumberFormat="1" applyFont="1" applyBorder="1" applyAlignment="1">
      <alignment horizontal="center" vertical="center"/>
    </xf>
    <xf numFmtId="0" fontId="110" fillId="0" borderId="167" xfId="0" applyFont="1" applyBorder="1" applyAlignment="1">
      <alignment horizontal="center" vertical="center"/>
    </xf>
    <xf numFmtId="164" fontId="90" fillId="0" borderId="167" xfId="29" applyFont="1" applyFill="1" applyBorder="1" applyAlignment="1">
      <alignment vertical="center"/>
    </xf>
    <xf numFmtId="3" fontId="110" fillId="40" borderId="167" xfId="0" applyNumberFormat="1" applyFont="1" applyFill="1" applyBorder="1" applyAlignment="1">
      <alignment horizontal="center" vertical="center"/>
    </xf>
    <xf numFmtId="0" fontId="110" fillId="40" borderId="167" xfId="0" applyFont="1" applyFill="1" applyBorder="1" applyAlignment="1">
      <alignment horizontal="center" vertical="center"/>
    </xf>
    <xf numFmtId="164" fontId="54" fillId="28" borderId="167" xfId="29" applyFont="1" applyFill="1" applyBorder="1" applyAlignment="1">
      <alignment vertical="center"/>
    </xf>
    <xf numFmtId="1" fontId="54" fillId="28" borderId="167" xfId="0" applyNumberFormat="1" applyFont="1" applyFill="1" applyBorder="1" applyAlignment="1">
      <alignment horizontal="center" vertical="center"/>
    </xf>
    <xf numFmtId="3" fontId="54" fillId="28" borderId="167" xfId="0" applyNumberFormat="1" applyFont="1" applyFill="1" applyBorder="1" applyAlignment="1">
      <alignment horizontal="center" vertical="center"/>
    </xf>
    <xf numFmtId="1" fontId="99" fillId="0" borderId="174" xfId="0" applyNumberFormat="1" applyFont="1" applyBorder="1" applyAlignment="1">
      <alignment horizontal="center" vertical="center"/>
    </xf>
    <xf numFmtId="0" fontId="54" fillId="0" borderId="174" xfId="0" applyFont="1" applyBorder="1" applyAlignment="1">
      <alignment horizontal="center" vertical="center"/>
    </xf>
    <xf numFmtId="0" fontId="54" fillId="0" borderId="167" xfId="29" applyNumberFormat="1" applyFont="1" applyFill="1" applyBorder="1" applyAlignment="1">
      <alignment horizontal="center" vertical="center"/>
    </xf>
    <xf numFmtId="1" fontId="54" fillId="0" borderId="174" xfId="0" applyNumberFormat="1" applyFont="1" applyBorder="1" applyAlignment="1">
      <alignment horizontal="center" vertical="center"/>
    </xf>
    <xf numFmtId="0" fontId="110" fillId="0" borderId="174" xfId="0" applyFont="1" applyBorder="1" applyAlignment="1">
      <alignment horizontal="center" vertical="center"/>
    </xf>
    <xf numFmtId="0" fontId="90" fillId="0" borderId="174" xfId="0" applyFont="1" applyBorder="1" applyAlignment="1">
      <alignment horizontal="center" vertical="center"/>
    </xf>
    <xf numFmtId="0" fontId="106" fillId="36" borderId="167" xfId="0" applyFont="1" applyFill="1" applyBorder="1" applyAlignment="1">
      <alignment horizontal="center" vertical="center"/>
    </xf>
    <xf numFmtId="43" fontId="54" fillId="0" borderId="167" xfId="664" applyFont="1" applyFill="1" applyBorder="1" applyAlignment="1">
      <alignment horizontal="center" vertical="center"/>
    </xf>
    <xf numFmtId="1" fontId="99" fillId="0" borderId="167" xfId="664" applyNumberFormat="1" applyFont="1" applyBorder="1" applyAlignment="1">
      <alignment horizontal="center" vertical="center"/>
    </xf>
    <xf numFmtId="43" fontId="100" fillId="0" borderId="167" xfId="664" applyFont="1" applyBorder="1" applyAlignment="1">
      <alignment horizontal="center" vertical="center"/>
    </xf>
    <xf numFmtId="167" fontId="100" fillId="0" borderId="167" xfId="664" applyNumberFormat="1" applyFont="1" applyBorder="1" applyAlignment="1">
      <alignment horizontal="center" vertical="center"/>
    </xf>
    <xf numFmtId="43" fontId="100" fillId="0" borderId="167" xfId="664" applyFont="1" applyFill="1" applyBorder="1" applyAlignment="1">
      <alignment horizontal="center" vertical="center"/>
    </xf>
    <xf numFmtId="167" fontId="100" fillId="0" borderId="167" xfId="664" applyNumberFormat="1" applyFont="1" applyBorder="1" applyAlignment="1">
      <alignment vertical="center"/>
    </xf>
    <xf numFmtId="167" fontId="99" fillId="0" borderId="167" xfId="664" applyNumberFormat="1" applyFont="1" applyBorder="1" applyAlignment="1">
      <alignment horizontal="center" vertical="center"/>
    </xf>
    <xf numFmtId="167" fontId="101" fillId="0" borderId="167" xfId="664" applyNumberFormat="1" applyFont="1" applyFill="1" applyBorder="1" applyAlignment="1">
      <alignment horizontal="center" vertical="center"/>
    </xf>
    <xf numFmtId="0" fontId="101" fillId="0" borderId="167" xfId="779" applyNumberFormat="1" applyFont="1" applyFill="1" applyBorder="1" applyAlignment="1">
      <alignment horizontal="center" vertical="center"/>
    </xf>
    <xf numFmtId="167" fontId="100" fillId="0" borderId="167" xfId="664" applyNumberFormat="1" applyFont="1" applyFill="1" applyBorder="1" applyAlignment="1">
      <alignment vertical="center"/>
    </xf>
    <xf numFmtId="2" fontId="54" fillId="0" borderId="167" xfId="0" applyNumberFormat="1" applyFont="1" applyBorder="1" applyAlignment="1">
      <alignment horizontal="center" vertical="center"/>
    </xf>
    <xf numFmtId="164" fontId="54" fillId="0" borderId="167" xfId="29" applyFont="1" applyFill="1" applyBorder="1" applyAlignment="1">
      <alignment horizontal="center" vertical="center"/>
    </xf>
    <xf numFmtId="189" fontId="54" fillId="0" borderId="167" xfId="29" applyNumberFormat="1" applyFont="1" applyFill="1" applyBorder="1" applyAlignment="1">
      <alignment horizontal="center" vertical="center"/>
    </xf>
    <xf numFmtId="0" fontId="90" fillId="0" borderId="174" xfId="0" applyFont="1" applyBorder="1" applyAlignment="1">
      <alignment horizontal="center" vertical="center" wrapText="1"/>
    </xf>
    <xf numFmtId="0" fontId="90" fillId="0" borderId="173" xfId="0" applyFont="1" applyBorder="1" applyAlignment="1">
      <alignment horizontal="center" vertical="center"/>
    </xf>
    <xf numFmtId="164" fontId="90" fillId="0" borderId="173" xfId="29" applyFont="1" applyFill="1" applyBorder="1" applyAlignment="1">
      <alignment horizontal="center" vertical="center"/>
    </xf>
    <xf numFmtId="164" fontId="90" fillId="0" borderId="174" xfId="29" applyFont="1" applyFill="1" applyBorder="1" applyAlignment="1">
      <alignment horizontal="center" vertical="center"/>
    </xf>
    <xf numFmtId="164" fontId="54" fillId="0" borderId="173" xfId="29" applyFont="1" applyFill="1" applyBorder="1" applyAlignment="1">
      <alignment horizontal="center" vertical="center"/>
    </xf>
    <xf numFmtId="1" fontId="0" fillId="35" borderId="167" xfId="0" applyNumberFormat="1" applyFill="1" applyBorder="1" applyAlignment="1"/>
    <xf numFmtId="1" fontId="0" fillId="33" borderId="167" xfId="0" applyNumberFormat="1" applyFill="1" applyBorder="1" applyAlignment="1"/>
    <xf numFmtId="0" fontId="0" fillId="39" borderId="167" xfId="0" applyFill="1" applyBorder="1" applyAlignment="1"/>
    <xf numFmtId="44" fontId="100" fillId="0" borderId="167" xfId="0" applyNumberFormat="1" applyFont="1" applyBorder="1" applyAlignment="1">
      <alignment horizontal="center" vertical="center"/>
    </xf>
    <xf numFmtId="0" fontId="101" fillId="0" borderId="167" xfId="0" applyFont="1" applyBorder="1" applyAlignment="1">
      <alignment horizontal="center" vertical="center"/>
    </xf>
    <xf numFmtId="164" fontId="100" fillId="0" borderId="167" xfId="29" applyFont="1" applyBorder="1">
      <alignment vertical="center"/>
    </xf>
    <xf numFmtId="44" fontId="100" fillId="28" borderId="167" xfId="0" applyNumberFormat="1" applyFont="1" applyFill="1" applyBorder="1" applyAlignment="1">
      <alignment horizontal="center" vertical="center"/>
    </xf>
    <xf numFmtId="0" fontId="99" fillId="28" borderId="167" xfId="0" applyFont="1" applyFill="1" applyBorder="1" applyAlignment="1">
      <alignment horizontal="center" vertical="center"/>
    </xf>
    <xf numFmtId="1" fontId="99" fillId="28" borderId="167" xfId="0" applyNumberFormat="1" applyFont="1" applyFill="1" applyBorder="1" applyAlignment="1">
      <alignment horizontal="center" vertical="center"/>
    </xf>
    <xf numFmtId="0" fontId="54" fillId="28" borderId="167" xfId="0" applyFont="1" applyFill="1" applyBorder="1" applyAlignment="1">
      <alignment horizontal="center" vertical="top"/>
    </xf>
    <xf numFmtId="1" fontId="54" fillId="28" borderId="167" xfId="0" applyNumberFormat="1" applyFont="1" applyFill="1" applyBorder="1" applyAlignment="1">
      <alignment horizontal="center" vertical="top"/>
    </xf>
    <xf numFmtId="0" fontId="100" fillId="28" borderId="167" xfId="0" applyFont="1" applyFill="1" applyBorder="1" applyAlignment="1">
      <alignment horizontal="center" vertical="center"/>
    </xf>
    <xf numFmtId="164" fontId="100" fillId="28" borderId="167" xfId="29" applyFont="1" applyFill="1" applyBorder="1" applyAlignment="1">
      <alignment vertical="center"/>
    </xf>
    <xf numFmtId="41" fontId="54" fillId="0" borderId="167" xfId="0" applyNumberFormat="1" applyFont="1" applyBorder="1" applyAlignment="1">
      <alignment horizontal="center" vertical="center"/>
    </xf>
    <xf numFmtId="1" fontId="54" fillId="0" borderId="167" xfId="664" applyNumberFormat="1" applyFont="1" applyFill="1" applyBorder="1" applyAlignment="1">
      <alignment horizontal="center" vertical="center"/>
    </xf>
    <xf numFmtId="41" fontId="99" fillId="0" borderId="167" xfId="0" applyNumberFormat="1" applyFont="1" applyBorder="1" applyAlignment="1">
      <alignment horizontal="center" vertical="center"/>
    </xf>
    <xf numFmtId="1" fontId="101" fillId="0" borderId="167" xfId="0" applyNumberFormat="1" applyFont="1" applyBorder="1" applyAlignment="1">
      <alignment horizontal="center" vertical="center"/>
    </xf>
    <xf numFmtId="0" fontId="101" fillId="0" borderId="167" xfId="779" applyFont="1" applyFill="1" applyBorder="1" applyAlignment="1">
      <alignment horizontal="center" vertical="center"/>
    </xf>
    <xf numFmtId="0" fontId="105" fillId="36" borderId="167" xfId="779" applyFont="1" applyFill="1" applyBorder="1" applyAlignment="1">
      <alignment horizontal="center" vertical="center"/>
    </xf>
    <xf numFmtId="1" fontId="54" fillId="0" borderId="167" xfId="28" applyNumberFormat="1" applyFont="1" applyFill="1" applyBorder="1" applyAlignment="1">
      <alignment horizontal="center" vertical="center"/>
    </xf>
    <xf numFmtId="188" fontId="54" fillId="0" borderId="167" xfId="28" applyNumberFormat="1" applyFont="1" applyFill="1" applyBorder="1" applyAlignment="1">
      <alignment horizontal="center" vertical="center"/>
    </xf>
    <xf numFmtId="3" fontId="100" fillId="0" borderId="167" xfId="0" applyNumberFormat="1" applyFont="1" applyBorder="1" applyAlignment="1">
      <alignment horizontal="center" vertical="center"/>
    </xf>
    <xf numFmtId="1" fontId="99" fillId="0" borderId="167" xfId="0" applyNumberFormat="1" applyFont="1" applyBorder="1" applyAlignment="1">
      <alignment horizontal="left" vertical="center"/>
    </xf>
    <xf numFmtId="1" fontId="54" fillId="0" borderId="167" xfId="28" quotePrefix="1" applyNumberFormat="1" applyFont="1" applyBorder="1" applyAlignment="1">
      <alignment horizontal="center" vertical="center"/>
    </xf>
    <xf numFmtId="1" fontId="54" fillId="0" borderId="167" xfId="28" applyNumberFormat="1" applyFont="1" applyBorder="1" applyAlignment="1">
      <alignment horizontal="center" vertical="center"/>
    </xf>
    <xf numFmtId="1" fontId="99" fillId="28" borderId="167" xfId="781" applyNumberFormat="1" applyFont="1" applyFill="1" applyBorder="1" applyAlignment="1">
      <alignment horizontal="center" vertical="center"/>
    </xf>
    <xf numFmtId="1" fontId="99" fillId="28" borderId="167" xfId="0" applyNumberFormat="1" applyFont="1" applyFill="1" applyBorder="1" applyAlignment="1">
      <alignment horizontal="left" vertical="center"/>
    </xf>
    <xf numFmtId="1" fontId="110" fillId="37" borderId="167" xfId="0" applyNumberFormat="1" applyFont="1" applyFill="1" applyBorder="1" applyAlignment="1">
      <alignment horizontal="center" vertical="center"/>
    </xf>
    <xf numFmtId="187" fontId="54" fillId="0" borderId="167" xfId="0" applyNumberFormat="1" applyFont="1" applyBorder="1" applyAlignment="1">
      <alignment horizontal="center" vertical="center"/>
    </xf>
    <xf numFmtId="187" fontId="54" fillId="0" borderId="167" xfId="49" applyNumberFormat="1" applyFont="1" applyBorder="1" applyAlignment="1">
      <alignment horizontal="center" vertical="center"/>
    </xf>
    <xf numFmtId="0" fontId="54" fillId="0" borderId="167" xfId="48" applyFont="1" applyBorder="1" applyAlignment="1">
      <alignment horizontal="center" vertical="center"/>
    </xf>
    <xf numFmtId="41" fontId="54" fillId="0" borderId="167" xfId="450" applyFont="1" applyBorder="1" applyAlignment="1">
      <alignment vertical="center"/>
    </xf>
    <xf numFmtId="0" fontId="54" fillId="0" borderId="167" xfId="49" applyFont="1" applyBorder="1" applyAlignment="1">
      <alignment horizontal="center" vertical="center"/>
    </xf>
    <xf numFmtId="187" fontId="54" fillId="28" borderId="167" xfId="0" applyNumberFormat="1" applyFont="1" applyFill="1" applyBorder="1" applyAlignment="1">
      <alignment horizontal="center" vertical="center"/>
    </xf>
    <xf numFmtId="1" fontId="54" fillId="0" borderId="167" xfId="49" applyNumberFormat="1" applyFont="1" applyBorder="1" applyAlignment="1">
      <alignment horizontal="center" vertical="center"/>
    </xf>
    <xf numFmtId="0" fontId="54" fillId="28" borderId="167" xfId="49" applyFont="1" applyFill="1" applyBorder="1" applyAlignment="1">
      <alignment horizontal="center" vertical="center"/>
    </xf>
    <xf numFmtId="172" fontId="94" fillId="34" borderId="67" xfId="0" applyNumberFormat="1" applyFont="1" applyFill="1" applyBorder="1">
      <alignment vertical="center"/>
    </xf>
    <xf numFmtId="172" fontId="94" fillId="34" borderId="0" xfId="0" applyNumberFormat="1" applyFont="1" applyFill="1">
      <alignment vertical="center"/>
    </xf>
    <xf numFmtId="172" fontId="109" fillId="35" borderId="67" xfId="0" applyNumberFormat="1" applyFont="1" applyFill="1" applyBorder="1">
      <alignment vertical="center"/>
    </xf>
    <xf numFmtId="172" fontId="109" fillId="35" borderId="0" xfId="0" applyNumberFormat="1" applyFont="1" applyFill="1">
      <alignment vertical="center"/>
    </xf>
    <xf numFmtId="172" fontId="94" fillId="32" borderId="67" xfId="0" applyNumberFormat="1" applyFont="1" applyFill="1" applyBorder="1">
      <alignment vertical="center"/>
    </xf>
    <xf numFmtId="172" fontId="94" fillId="32" borderId="0" xfId="0" applyNumberFormat="1" applyFont="1" applyFill="1">
      <alignment vertical="center"/>
    </xf>
    <xf numFmtId="172" fontId="109" fillId="33" borderId="67" xfId="0" applyNumberFormat="1" applyFont="1" applyFill="1" applyBorder="1">
      <alignment vertical="center"/>
    </xf>
    <xf numFmtId="172" fontId="109" fillId="33" borderId="0" xfId="0" applyNumberFormat="1" applyFont="1" applyFill="1">
      <alignment vertical="center"/>
    </xf>
    <xf numFmtId="172" fontId="94" fillId="0" borderId="67" xfId="0" applyNumberFormat="1" applyFont="1" applyBorder="1">
      <alignment vertical="center"/>
    </xf>
    <xf numFmtId="172" fontId="94" fillId="0" borderId="0" xfId="0" applyNumberFormat="1" applyFont="1">
      <alignment vertical="center"/>
    </xf>
    <xf numFmtId="172" fontId="109" fillId="36" borderId="67" xfId="0" applyNumberFormat="1" applyFont="1" applyFill="1" applyBorder="1">
      <alignment vertical="center"/>
    </xf>
    <xf numFmtId="172" fontId="109" fillId="36" borderId="0" xfId="0" applyNumberFormat="1" applyFont="1" applyFill="1">
      <alignment vertical="center"/>
    </xf>
    <xf numFmtId="182" fontId="102" fillId="0" borderId="12" xfId="537" applyFont="1" applyBorder="1" applyAlignment="1">
      <alignment horizontal="center" vertical="center"/>
    </xf>
    <xf numFmtId="182" fontId="102" fillId="0" borderId="0" xfId="537" applyFont="1" applyAlignment="1">
      <alignment horizontal="center" vertical="center"/>
    </xf>
    <xf numFmtId="182" fontId="102" fillId="0" borderId="13" xfId="537" applyFont="1" applyBorder="1" applyAlignment="1">
      <alignment horizontal="center" vertical="center"/>
    </xf>
    <xf numFmtId="184" fontId="42" fillId="0" borderId="12" xfId="63" applyNumberFormat="1" applyFont="1" applyBorder="1" applyAlignment="1">
      <alignment horizontal="center" vertical="center"/>
    </xf>
    <xf numFmtId="184" fontId="42" fillId="0" borderId="0" xfId="63" applyNumberFormat="1" applyFont="1" applyAlignment="1">
      <alignment horizontal="center" vertical="center"/>
    </xf>
    <xf numFmtId="184" fontId="42" fillId="0" borderId="13" xfId="63" applyNumberFormat="1" applyFont="1" applyBorder="1" applyAlignment="1">
      <alignment horizontal="center" vertical="center"/>
    </xf>
    <xf numFmtId="0" fontId="14" fillId="0" borderId="178" xfId="0" applyFont="1" applyBorder="1" applyAlignment="1">
      <alignment horizontal="center" vertical="center"/>
    </xf>
    <xf numFmtId="0" fontId="14" fillId="0" borderId="49" xfId="0" applyFont="1" applyBorder="1" applyAlignment="1">
      <alignment horizontal="center" vertical="center"/>
    </xf>
    <xf numFmtId="167" fontId="93" fillId="0" borderId="125" xfId="28" applyNumberFormat="1" applyFont="1" applyFill="1" applyBorder="1" applyAlignment="1">
      <alignment horizontal="center" vertical="center"/>
    </xf>
    <xf numFmtId="167" fontId="93" fillId="0" borderId="126" xfId="28" applyNumberFormat="1" applyFont="1" applyFill="1" applyBorder="1" applyAlignment="1">
      <alignment horizontal="center" vertical="center"/>
    </xf>
    <xf numFmtId="167" fontId="93" fillId="0" borderId="168" xfId="28" applyNumberFormat="1" applyFont="1" applyFill="1" applyBorder="1" applyAlignment="1">
      <alignment horizontal="center" vertical="center"/>
    </xf>
    <xf numFmtId="167" fontId="93" fillId="0" borderId="171" xfId="28" applyNumberFormat="1" applyFont="1" applyFill="1" applyBorder="1" applyAlignment="1">
      <alignment horizontal="center" vertical="center"/>
    </xf>
    <xf numFmtId="167" fontId="93" fillId="0" borderId="168" xfId="28" applyNumberFormat="1" applyFont="1" applyFill="1" applyBorder="1" applyAlignment="1">
      <alignment horizontal="center" vertical="center" wrapText="1"/>
    </xf>
    <xf numFmtId="167" fontId="93" fillId="0" borderId="171" xfId="28" applyNumberFormat="1" applyFont="1" applyFill="1" applyBorder="1" applyAlignment="1">
      <alignment horizontal="center" vertical="center" wrapText="1"/>
    </xf>
    <xf numFmtId="0" fontId="93" fillId="0" borderId="228" xfId="0" applyFont="1" applyBorder="1" applyAlignment="1">
      <alignment horizontal="center" vertical="center"/>
    </xf>
    <xf numFmtId="0" fontId="93" fillId="0" borderId="19" xfId="0" applyFont="1" applyBorder="1" applyAlignment="1">
      <alignment horizontal="center" vertical="center"/>
    </xf>
    <xf numFmtId="0" fontId="93" fillId="0" borderId="46" xfId="0" applyFont="1" applyBorder="1" applyAlignment="1">
      <alignment horizontal="center" vertical="center"/>
    </xf>
    <xf numFmtId="0" fontId="94" fillId="18" borderId="20" xfId="0" applyFont="1" applyFill="1" applyBorder="1" applyAlignment="1">
      <alignment horizontal="center" vertical="center"/>
    </xf>
    <xf numFmtId="0" fontId="94" fillId="18" borderId="77" xfId="0" applyFont="1" applyFill="1" applyBorder="1" applyAlignment="1">
      <alignment horizontal="center" vertical="center"/>
    </xf>
    <xf numFmtId="0" fontId="93" fillId="0" borderId="233" xfId="0" applyFont="1" applyBorder="1" applyAlignment="1">
      <alignment horizontal="center" vertical="center"/>
    </xf>
    <xf numFmtId="0" fontId="93" fillId="0" borderId="234" xfId="0" applyFont="1" applyBorder="1" applyAlignment="1">
      <alignment horizontal="center" vertical="center"/>
    </xf>
    <xf numFmtId="0" fontId="93" fillId="0" borderId="71" xfId="0" applyFont="1" applyBorder="1" applyAlignment="1">
      <alignment horizontal="center" vertical="center"/>
    </xf>
    <xf numFmtId="0" fontId="93" fillId="0" borderId="73" xfId="0" applyFont="1" applyBorder="1" applyAlignment="1">
      <alignment horizontal="center" vertical="center"/>
    </xf>
    <xf numFmtId="192" fontId="93" fillId="0" borderId="237" xfId="0" applyNumberFormat="1" applyFont="1" applyBorder="1" applyAlignment="1">
      <alignment horizontal="right" vertical="center"/>
    </xf>
    <xf numFmtId="192" fontId="93" fillId="0" borderId="123" xfId="0" applyNumberFormat="1" applyFont="1" applyBorder="1" applyAlignment="1">
      <alignment horizontal="right" vertical="center"/>
    </xf>
    <xf numFmtId="190" fontId="93" fillId="0" borderId="237" xfId="0" applyNumberFormat="1" applyFont="1" applyBorder="1" applyAlignment="1">
      <alignment horizontal="right" vertical="center"/>
    </xf>
    <xf numFmtId="190" fontId="93" fillId="0" borderId="123" xfId="0" applyNumberFormat="1" applyFont="1" applyBorder="1" applyAlignment="1">
      <alignment horizontal="right" vertical="center"/>
    </xf>
    <xf numFmtId="0" fontId="93" fillId="0" borderId="220" xfId="0" applyFont="1" applyBorder="1" applyAlignment="1">
      <alignment horizontal="center" vertical="center"/>
    </xf>
    <xf numFmtId="0" fontId="93" fillId="0" borderId="40" xfId="0" applyFont="1" applyBorder="1" applyAlignment="1">
      <alignment horizontal="center" vertical="center"/>
    </xf>
    <xf numFmtId="0" fontId="93" fillId="0" borderId="167" xfId="0" applyFont="1" applyBorder="1" applyAlignment="1">
      <alignment horizontal="center" vertical="center"/>
    </xf>
    <xf numFmtId="0" fontId="93" fillId="0" borderId="235" xfId="0" applyFont="1" applyBorder="1" applyAlignment="1">
      <alignment horizontal="center" vertical="center" wrapText="1"/>
    </xf>
    <xf numFmtId="0" fontId="93" fillId="0" borderId="49" xfId="0" applyFont="1" applyBorder="1" applyAlignment="1">
      <alignment horizontal="center" vertical="center" wrapText="1"/>
    </xf>
    <xf numFmtId="173" fontId="93" fillId="0" borderId="60" xfId="0" applyNumberFormat="1" applyFont="1" applyBorder="1" applyAlignment="1">
      <alignment horizontal="center" vertical="center"/>
    </xf>
    <xf numFmtId="0" fontId="93" fillId="0" borderId="30" xfId="0" applyFont="1" applyBorder="1" applyAlignment="1">
      <alignment horizontal="center" vertical="center"/>
    </xf>
    <xf numFmtId="0" fontId="93" fillId="0" borderId="15" xfId="0" applyFont="1" applyBorder="1" applyAlignment="1">
      <alignment horizontal="center" vertical="center"/>
    </xf>
    <xf numFmtId="172" fontId="94" fillId="32" borderId="69" xfId="0" applyNumberFormat="1" applyFont="1" applyFill="1" applyBorder="1">
      <alignment vertical="center"/>
    </xf>
    <xf numFmtId="172" fontId="94" fillId="32" borderId="51" xfId="0" applyNumberFormat="1" applyFont="1" applyFill="1" applyBorder="1">
      <alignment vertical="center"/>
    </xf>
    <xf numFmtId="0" fontId="93" fillId="0" borderId="232" xfId="0" applyFont="1" applyBorder="1" applyAlignment="1">
      <alignment horizontal="center" vertical="center"/>
    </xf>
    <xf numFmtId="0" fontId="93" fillId="0" borderId="72" xfId="0" applyFont="1" applyBorder="1" applyAlignment="1">
      <alignment horizontal="center" vertical="center"/>
    </xf>
    <xf numFmtId="168" fontId="93" fillId="0" borderId="67" xfId="0" applyNumberFormat="1" applyFont="1" applyBorder="1" applyAlignment="1">
      <alignment horizontal="center" vertical="center" wrapText="1"/>
    </xf>
    <xf numFmtId="168" fontId="93" fillId="0" borderId="0" xfId="0" applyNumberFormat="1" applyFont="1" applyAlignment="1">
      <alignment horizontal="center" vertical="center" wrapText="1"/>
    </xf>
    <xf numFmtId="168" fontId="93" fillId="0" borderId="68" xfId="0" applyNumberFormat="1" applyFont="1" applyBorder="1" applyAlignment="1">
      <alignment horizontal="center" vertical="center" wrapText="1"/>
    </xf>
    <xf numFmtId="168" fontId="93" fillId="0" borderId="69" xfId="0" applyNumberFormat="1" applyFont="1" applyBorder="1" applyAlignment="1">
      <alignment horizontal="center" vertical="center" wrapText="1"/>
    </xf>
    <xf numFmtId="168" fontId="93" fillId="0" borderId="51" xfId="0" applyNumberFormat="1" applyFont="1" applyBorder="1" applyAlignment="1">
      <alignment horizontal="center" vertical="center" wrapText="1"/>
    </xf>
    <xf numFmtId="168" fontId="93" fillId="0" borderId="70" xfId="0" applyNumberFormat="1" applyFont="1" applyBorder="1" applyAlignment="1">
      <alignment horizontal="center" vertical="center" wrapText="1"/>
    </xf>
    <xf numFmtId="167" fontId="93" fillId="0" borderId="238" xfId="29" applyNumberFormat="1" applyFont="1" applyBorder="1" applyAlignment="1">
      <alignment horizontal="right" vertical="center"/>
    </xf>
    <xf numFmtId="167" fontId="93" fillId="0" borderId="122" xfId="29" applyNumberFormat="1" applyFont="1" applyBorder="1" applyAlignment="1">
      <alignment horizontal="right" vertical="center"/>
    </xf>
    <xf numFmtId="167" fontId="93" fillId="0" borderId="236" xfId="29" applyNumberFormat="1" applyFont="1" applyBorder="1" applyAlignment="1">
      <alignment horizontal="right" vertical="center"/>
    </xf>
    <xf numFmtId="167" fontId="93" fillId="0" borderId="121" xfId="29" applyNumberFormat="1" applyFont="1" applyBorder="1" applyAlignment="1">
      <alignment horizontal="right" vertical="center"/>
    </xf>
    <xf numFmtId="0" fontId="93" fillId="0" borderId="167" xfId="0" applyFont="1" applyBorder="1" applyAlignment="1">
      <alignment horizontal="center" vertical="center" wrapText="1"/>
    </xf>
    <xf numFmtId="0" fontId="93" fillId="0" borderId="178" xfId="0" applyFont="1" applyBorder="1" applyAlignment="1">
      <alignment horizontal="center" vertical="center"/>
    </xf>
    <xf numFmtId="0" fontId="93" fillId="0" borderId="49" xfId="0" applyFont="1" applyBorder="1" applyAlignment="1">
      <alignment horizontal="center" vertical="center"/>
    </xf>
    <xf numFmtId="175" fontId="93" fillId="19" borderId="51" xfId="0" applyNumberFormat="1" applyFont="1" applyFill="1" applyBorder="1" applyAlignment="1">
      <alignment horizontal="left" vertical="center"/>
    </xf>
    <xf numFmtId="0" fontId="94" fillId="18" borderId="19" xfId="0" applyFont="1" applyFill="1" applyBorder="1" applyAlignment="1">
      <alignment horizontal="center" vertical="center"/>
    </xf>
    <xf numFmtId="0" fontId="94" fillId="18" borderId="50" xfId="0" applyFont="1" applyFill="1" applyBorder="1" applyAlignment="1">
      <alignment horizontal="center" vertical="center"/>
    </xf>
    <xf numFmtId="167" fontId="93" fillId="0" borderId="169" xfId="28" applyNumberFormat="1" applyFont="1" applyFill="1" applyBorder="1" applyAlignment="1">
      <alignment horizontal="center" vertical="center"/>
    </xf>
    <xf numFmtId="0" fontId="93" fillId="0" borderId="66" xfId="0" applyFont="1" applyBorder="1" applyAlignment="1">
      <alignment horizontal="center" vertical="center" wrapText="1"/>
    </xf>
    <xf numFmtId="0" fontId="93" fillId="0" borderId="52" xfId="0" applyFont="1" applyBorder="1" applyAlignment="1">
      <alignment horizontal="center" vertical="center" wrapText="1"/>
    </xf>
    <xf numFmtId="0" fontId="93" fillId="0" borderId="75" xfId="0" applyFont="1" applyBorder="1" applyAlignment="1">
      <alignment horizontal="center" vertical="center"/>
    </xf>
    <xf numFmtId="0" fontId="93" fillId="0" borderId="61" xfId="0" applyFont="1" applyBorder="1" applyAlignment="1">
      <alignment horizontal="center" vertical="center"/>
    </xf>
    <xf numFmtId="0" fontId="93" fillId="0" borderId="76" xfId="0" applyFont="1" applyBorder="1" applyAlignment="1">
      <alignment horizontal="center" vertical="center"/>
    </xf>
    <xf numFmtId="0" fontId="93" fillId="0" borderId="28" xfId="0" applyFont="1" applyBorder="1" applyAlignment="1">
      <alignment horizontal="center" vertical="center"/>
    </xf>
    <xf numFmtId="0" fontId="93" fillId="0" borderId="16" xfId="0" applyFont="1" applyBorder="1" applyAlignment="1">
      <alignment horizontal="center" vertical="center"/>
    </xf>
    <xf numFmtId="0" fontId="93" fillId="0" borderId="74" xfId="0" applyFont="1" applyBorder="1" applyAlignment="1">
      <alignment horizontal="center" vertical="center"/>
    </xf>
    <xf numFmtId="174" fontId="93" fillId="0" borderId="75" xfId="0" applyNumberFormat="1" applyFont="1" applyBorder="1" applyAlignment="1">
      <alignment horizontal="center" vertical="center"/>
    </xf>
    <xf numFmtId="174" fontId="93" fillId="0" borderId="76" xfId="0" applyNumberFormat="1" applyFont="1" applyBorder="1" applyAlignment="1">
      <alignment horizontal="center" vertical="center"/>
    </xf>
    <xf numFmtId="173" fontId="93" fillId="0" borderId="61" xfId="0" applyNumberFormat="1" applyFont="1" applyBorder="1" applyAlignment="1">
      <alignment horizontal="center" vertical="center"/>
    </xf>
    <xf numFmtId="173" fontId="93" fillId="0" borderId="76" xfId="0" applyNumberFormat="1" applyFont="1" applyBorder="1" applyAlignment="1">
      <alignment horizontal="center" vertical="center"/>
    </xf>
    <xf numFmtId="166" fontId="93" fillId="0" borderId="19" xfId="36" applyFont="1" applyBorder="1" applyAlignment="1">
      <alignment horizontal="center" vertical="center"/>
    </xf>
    <xf numFmtId="166" fontId="93" fillId="0" borderId="40" xfId="36" applyFont="1" applyBorder="1" applyAlignment="1">
      <alignment horizontal="center" vertical="center"/>
    </xf>
    <xf numFmtId="0" fontId="90" fillId="0" borderId="0" xfId="0" applyFont="1" applyAlignment="1">
      <alignment horizontal="left" vertical="center"/>
    </xf>
    <xf numFmtId="0" fontId="90" fillId="0" borderId="68" xfId="0" applyFont="1" applyBorder="1" applyAlignment="1">
      <alignment horizontal="left" vertical="center"/>
    </xf>
    <xf numFmtId="185" fontId="90" fillId="0" borderId="0" xfId="0" applyNumberFormat="1" applyFont="1" applyAlignment="1">
      <alignment horizontal="left" vertical="center"/>
    </xf>
    <xf numFmtId="185" fontId="90" fillId="0" borderId="68" xfId="0" applyNumberFormat="1" applyFont="1" applyBorder="1" applyAlignment="1">
      <alignment horizontal="left" vertical="center"/>
    </xf>
    <xf numFmtId="0" fontId="90" fillId="0" borderId="51" xfId="0" applyFont="1" applyBorder="1" applyAlignment="1">
      <alignment horizontal="left" vertical="center"/>
    </xf>
    <xf numFmtId="0" fontId="90" fillId="0" borderId="70" xfId="0" applyFont="1" applyBorder="1" applyAlignment="1">
      <alignment horizontal="left" vertical="center"/>
    </xf>
    <xf numFmtId="167" fontId="93" fillId="0" borderId="229" xfId="29" applyNumberFormat="1" applyFont="1" applyFill="1" applyBorder="1" applyAlignment="1">
      <alignment horizontal="center" vertical="center"/>
    </xf>
    <xf numFmtId="167" fontId="93" fillId="0" borderId="123" xfId="29" applyNumberFormat="1" applyFont="1" applyFill="1" applyBorder="1" applyAlignment="1">
      <alignment horizontal="center" vertical="center"/>
    </xf>
    <xf numFmtId="0" fontId="42" fillId="29" borderId="223" xfId="0" applyFont="1" applyFill="1" applyBorder="1" applyAlignment="1">
      <alignment horizontal="center" vertical="center"/>
    </xf>
    <xf numFmtId="0" fontId="42" fillId="29" borderId="224" xfId="0" applyFont="1" applyFill="1" applyBorder="1" applyAlignment="1">
      <alignment horizontal="center" vertical="center"/>
    </xf>
    <xf numFmtId="0" fontId="42" fillId="29" borderId="225" xfId="0" applyFont="1" applyFill="1" applyBorder="1" applyAlignment="1">
      <alignment horizontal="center" vertical="center"/>
    </xf>
    <xf numFmtId="0" fontId="42" fillId="29" borderId="67" xfId="0" applyFont="1" applyFill="1" applyBorder="1" applyAlignment="1">
      <alignment horizontal="center" vertical="center"/>
    </xf>
    <xf numFmtId="0" fontId="42" fillId="29" borderId="0" xfId="0" applyFont="1" applyFill="1" applyAlignment="1">
      <alignment horizontal="center" vertical="center"/>
    </xf>
    <xf numFmtId="0" fontId="42" fillId="29" borderId="68" xfId="0" applyFont="1" applyFill="1" applyBorder="1" applyAlignment="1">
      <alignment horizontal="center" vertical="center"/>
    </xf>
    <xf numFmtId="0" fontId="42" fillId="29" borderId="69" xfId="0" applyFont="1" applyFill="1" applyBorder="1" applyAlignment="1">
      <alignment horizontal="center" vertical="center"/>
    </xf>
    <xf numFmtId="0" fontId="42" fillId="29" borderId="51" xfId="0" applyFont="1" applyFill="1" applyBorder="1" applyAlignment="1">
      <alignment horizontal="center" vertical="center"/>
    </xf>
    <xf numFmtId="0" fontId="42" fillId="29" borderId="70" xfId="0" applyFont="1" applyFill="1" applyBorder="1" applyAlignment="1">
      <alignment horizontal="center" vertical="center"/>
    </xf>
    <xf numFmtId="186" fontId="91" fillId="29" borderId="226" xfId="0" applyNumberFormat="1" applyFont="1" applyFill="1" applyBorder="1" applyAlignment="1">
      <alignment horizontal="left" vertical="center"/>
    </xf>
    <xf numFmtId="186" fontId="91" fillId="29" borderId="227" xfId="0" applyNumberFormat="1" applyFont="1" applyFill="1" applyBorder="1" applyAlignment="1">
      <alignment horizontal="left" vertical="center"/>
    </xf>
    <xf numFmtId="0" fontId="90" fillId="0" borderId="224" xfId="0" applyFont="1" applyBorder="1" applyAlignment="1">
      <alignment horizontal="left" vertical="center"/>
    </xf>
    <xf numFmtId="0" fontId="90" fillId="0" borderId="225" xfId="0" applyFont="1" applyBorder="1" applyAlignment="1">
      <alignment horizontal="left" vertical="center"/>
    </xf>
    <xf numFmtId="172" fontId="90" fillId="0" borderId="223" xfId="0" applyNumberFormat="1" applyFont="1" applyBorder="1">
      <alignment vertical="center"/>
    </xf>
    <xf numFmtId="172" fontId="90" fillId="0" borderId="224" xfId="0" applyNumberFormat="1" applyFont="1" applyBorder="1">
      <alignment vertical="center"/>
    </xf>
    <xf numFmtId="172" fontId="90" fillId="0" borderId="67" xfId="0" applyNumberFormat="1" applyFont="1" applyBorder="1">
      <alignment vertical="center"/>
    </xf>
    <xf numFmtId="172" fontId="90" fillId="0" borderId="0" xfId="0" applyNumberFormat="1" applyFont="1">
      <alignment vertical="center"/>
    </xf>
    <xf numFmtId="172" fontId="90" fillId="0" borderId="69" xfId="0" applyNumberFormat="1" applyFont="1" applyBorder="1">
      <alignment vertical="center"/>
    </xf>
    <xf numFmtId="172" fontId="90" fillId="0" borderId="51" xfId="0" applyNumberFormat="1" applyFont="1" applyBorder="1">
      <alignment vertical="center"/>
    </xf>
    <xf numFmtId="172" fontId="109" fillId="35" borderId="67" xfId="0" applyNumberFormat="1" applyFont="1" applyFill="1" applyBorder="1">
      <alignment vertical="center"/>
    </xf>
    <xf numFmtId="172" fontId="109" fillId="35" borderId="0" xfId="0" applyNumberFormat="1" applyFont="1" applyFill="1">
      <alignment vertical="center"/>
    </xf>
    <xf numFmtId="164" fontId="93" fillId="0" borderId="176" xfId="29" applyFont="1" applyBorder="1" applyAlignment="1">
      <alignment horizontal="center" vertical="center"/>
    </xf>
    <xf numFmtId="164" fontId="93" fillId="0" borderId="173" xfId="29" applyFont="1" applyBorder="1" applyAlignment="1">
      <alignment horizontal="center" vertical="center"/>
    </xf>
    <xf numFmtId="164" fontId="93" fillId="0" borderId="174" xfId="29" applyFont="1" applyBorder="1" applyAlignment="1">
      <alignment horizontal="center" vertical="center"/>
    </xf>
    <xf numFmtId="164" fontId="93" fillId="0" borderId="71" xfId="29" applyFont="1" applyBorder="1" applyAlignment="1">
      <alignment horizontal="center" vertical="center"/>
    </xf>
    <xf numFmtId="164" fontId="93" fillId="0" borderId="72" xfId="29" applyFont="1" applyBorder="1" applyAlignment="1">
      <alignment horizontal="center" vertical="center"/>
    </xf>
    <xf numFmtId="164" fontId="93" fillId="0" borderId="73" xfId="29" applyFont="1" applyBorder="1" applyAlignment="1">
      <alignment horizontal="center" vertical="center"/>
    </xf>
    <xf numFmtId="167" fontId="93" fillId="0" borderId="228" xfId="29" applyNumberFormat="1" applyFont="1" applyFill="1" applyBorder="1" applyAlignment="1">
      <alignment horizontal="center" vertical="center"/>
    </xf>
    <xf numFmtId="167" fontId="93" fillId="0" borderId="121" xfId="29" applyNumberFormat="1" applyFont="1" applyFill="1" applyBorder="1" applyAlignment="1">
      <alignment horizontal="center" vertical="center"/>
    </xf>
    <xf numFmtId="164" fontId="93" fillId="0" borderId="0" xfId="29" applyFont="1" applyBorder="1" applyAlignment="1">
      <alignment horizontal="center" vertical="center"/>
    </xf>
    <xf numFmtId="167" fontId="93" fillId="0" borderId="40" xfId="29" applyNumberFormat="1" applyFont="1" applyFill="1" applyBorder="1" applyAlignment="1">
      <alignment horizontal="center" vertical="center"/>
    </xf>
    <xf numFmtId="167" fontId="93" fillId="0" borderId="128" xfId="29" applyNumberFormat="1" applyFont="1" applyFill="1" applyBorder="1" applyAlignment="1">
      <alignment horizontal="center" vertical="center"/>
    </xf>
    <xf numFmtId="190" fontId="93" fillId="0" borderId="230" xfId="0" applyNumberFormat="1" applyFont="1" applyBorder="1" applyAlignment="1">
      <alignment horizontal="center" vertical="center"/>
    </xf>
    <xf numFmtId="190" fontId="93" fillId="0" borderId="50" xfId="0" applyNumberFormat="1" applyFont="1" applyBorder="1" applyAlignment="1">
      <alignment horizontal="center" vertical="center"/>
    </xf>
    <xf numFmtId="172" fontId="109" fillId="36" borderId="67" xfId="0" applyNumberFormat="1" applyFont="1" applyFill="1" applyBorder="1">
      <alignment vertical="center"/>
    </xf>
    <xf numFmtId="172" fontId="109" fillId="36" borderId="0" xfId="0" applyNumberFormat="1" applyFont="1" applyFill="1">
      <alignment vertical="center"/>
    </xf>
    <xf numFmtId="172" fontId="94" fillId="32" borderId="67" xfId="0" applyNumberFormat="1" applyFont="1" applyFill="1" applyBorder="1">
      <alignment vertical="center"/>
    </xf>
    <xf numFmtId="172" fontId="94" fillId="32" borderId="0" xfId="0" applyNumberFormat="1" applyFont="1" applyFill="1">
      <alignment vertical="center"/>
    </xf>
    <xf numFmtId="167" fontId="93" fillId="0" borderId="38" xfId="29" applyNumberFormat="1" applyFont="1" applyFill="1" applyBorder="1" applyAlignment="1">
      <alignment horizontal="center" vertical="center"/>
    </xf>
    <xf numFmtId="172" fontId="94" fillId="0" borderId="67" xfId="0" applyNumberFormat="1" applyFont="1" applyBorder="1">
      <alignment vertical="center"/>
    </xf>
    <xf numFmtId="172" fontId="94" fillId="0" borderId="0" xfId="0" applyNumberFormat="1" applyFont="1">
      <alignment vertical="center"/>
    </xf>
    <xf numFmtId="190" fontId="93" fillId="0" borderId="122" xfId="0" applyNumberFormat="1" applyFont="1" applyBorder="1" applyAlignment="1">
      <alignment horizontal="center" vertical="center"/>
    </xf>
    <xf numFmtId="0" fontId="93" fillId="0" borderId="24" xfId="0" applyFont="1" applyBorder="1" applyAlignment="1">
      <alignment horizontal="center" vertical="center" wrapText="1"/>
    </xf>
    <xf numFmtId="190" fontId="93" fillId="0" borderId="21" xfId="0" applyNumberFormat="1" applyFont="1" applyBorder="1" applyAlignment="1">
      <alignment horizontal="center" vertical="center"/>
    </xf>
    <xf numFmtId="167" fontId="93" fillId="0" borderId="19" xfId="29" applyNumberFormat="1" applyFont="1" applyFill="1" applyBorder="1" applyAlignment="1">
      <alignment horizontal="center" vertical="center"/>
    </xf>
    <xf numFmtId="0" fontId="92" fillId="29" borderId="95" xfId="0" applyFont="1" applyFill="1" applyBorder="1" applyAlignment="1">
      <alignment horizontal="center" vertical="center"/>
    </xf>
    <xf numFmtId="0" fontId="92" fillId="29" borderId="86" xfId="0" applyFont="1" applyFill="1" applyBorder="1" applyAlignment="1">
      <alignment horizontal="center" vertical="center"/>
    </xf>
    <xf numFmtId="0" fontId="92" fillId="29" borderId="96" xfId="0" applyFont="1" applyFill="1" applyBorder="1" applyAlignment="1">
      <alignment horizontal="center" vertical="center"/>
    </xf>
    <xf numFmtId="0" fontId="93" fillId="0" borderId="168" xfId="0" applyFont="1" applyBorder="1" applyAlignment="1">
      <alignment horizontal="center" vertical="center"/>
    </xf>
    <xf numFmtId="0" fontId="93" fillId="0" borderId="169" xfId="0" applyFont="1" applyBorder="1" applyAlignment="1">
      <alignment horizontal="center" vertical="center"/>
    </xf>
    <xf numFmtId="0" fontId="93" fillId="0" borderId="171" xfId="0" applyFont="1" applyBorder="1" applyAlignment="1">
      <alignment horizontal="center" vertical="center"/>
    </xf>
    <xf numFmtId="0" fontId="93" fillId="0" borderId="170" xfId="0" applyFont="1" applyBorder="1" applyAlignment="1">
      <alignment horizontal="center" vertical="center"/>
    </xf>
    <xf numFmtId="0" fontId="90" fillId="0" borderId="167" xfId="0" applyFont="1" applyBorder="1" applyAlignment="1">
      <alignment horizontal="center" vertical="center" wrapText="1"/>
    </xf>
    <xf numFmtId="0" fontId="90" fillId="0" borderId="167" xfId="0" applyFont="1" applyBorder="1" applyAlignment="1">
      <alignment horizontal="center" vertical="center"/>
    </xf>
    <xf numFmtId="0" fontId="90" fillId="0" borderId="174" xfId="0" applyFont="1" applyBorder="1" applyAlignment="1">
      <alignment horizontal="center" vertical="center" wrapText="1"/>
    </xf>
    <xf numFmtId="0" fontId="90" fillId="0" borderId="68" xfId="0" applyFont="1" applyBorder="1" applyAlignment="1">
      <alignment horizontal="center" vertical="center" wrapText="1"/>
    </xf>
    <xf numFmtId="0" fontId="90" fillId="0" borderId="70" xfId="0" applyFont="1" applyBorder="1" applyAlignment="1">
      <alignment horizontal="center" vertical="center" wrapText="1"/>
    </xf>
    <xf numFmtId="0" fontId="94" fillId="0" borderId="0" xfId="0" applyFont="1">
      <alignment vertical="center"/>
    </xf>
    <xf numFmtId="0" fontId="90" fillId="0" borderId="175" xfId="0" applyFont="1" applyBorder="1" applyAlignment="1">
      <alignment horizontal="center" vertical="center" wrapText="1"/>
    </xf>
    <xf numFmtId="0" fontId="90" fillId="0" borderId="78" xfId="0" applyFont="1" applyBorder="1" applyAlignment="1">
      <alignment horizontal="center" vertical="center" wrapText="1"/>
    </xf>
    <xf numFmtId="0" fontId="90" fillId="0" borderId="79" xfId="0" applyFont="1" applyBorder="1" applyAlignment="1">
      <alignment horizontal="center" vertical="center" wrapText="1"/>
    </xf>
    <xf numFmtId="171" fontId="94" fillId="0" borderId="0" xfId="0" applyNumberFormat="1" applyFont="1" applyAlignment="1">
      <alignment horizontal="left" vertical="center"/>
    </xf>
    <xf numFmtId="0" fontId="90" fillId="0" borderId="168" xfId="0" applyFont="1" applyBorder="1" applyAlignment="1">
      <alignment horizontal="center" vertical="center"/>
    </xf>
    <xf numFmtId="0" fontId="90" fillId="0" borderId="169" xfId="0" applyFont="1" applyBorder="1" applyAlignment="1">
      <alignment horizontal="center" vertical="center"/>
    </xf>
    <xf numFmtId="0" fontId="90" fillId="0" borderId="171" xfId="0" applyFont="1" applyBorder="1" applyAlignment="1">
      <alignment horizontal="center" vertical="center"/>
    </xf>
    <xf numFmtId="0" fontId="39" fillId="29" borderId="80" xfId="0" applyFont="1" applyFill="1" applyBorder="1" applyAlignment="1">
      <alignment horizontal="center" vertical="center"/>
    </xf>
    <xf numFmtId="0" fontId="39" fillId="29" borderId="81" xfId="0" applyFont="1" applyFill="1" applyBorder="1" applyAlignment="1">
      <alignment horizontal="center" vertical="center"/>
    </xf>
    <xf numFmtId="0" fontId="39" fillId="29" borderId="82" xfId="0" applyFont="1" applyFill="1" applyBorder="1" applyAlignment="1">
      <alignment horizontal="center" vertical="center"/>
    </xf>
    <xf numFmtId="0" fontId="94" fillId="0" borderId="12" xfId="0" applyFont="1" applyBorder="1" applyAlignment="1">
      <alignment horizontal="center" vertical="center"/>
    </xf>
    <xf numFmtId="0" fontId="94" fillId="0" borderId="0" xfId="0" applyFont="1" applyAlignment="1">
      <alignment horizontal="center" vertical="center"/>
    </xf>
    <xf numFmtId="0" fontId="94" fillId="0" borderId="13" xfId="0" applyFont="1" applyBorder="1" applyAlignment="1">
      <alignment horizontal="center" vertical="center"/>
    </xf>
    <xf numFmtId="0" fontId="93" fillId="30" borderId="168" xfId="0" applyFont="1" applyFill="1" applyBorder="1" applyAlignment="1">
      <alignment horizontal="center" vertical="center"/>
    </xf>
    <xf numFmtId="0" fontId="93" fillId="30" borderId="169" xfId="0" applyFont="1" applyFill="1" applyBorder="1" applyAlignment="1">
      <alignment horizontal="center" vertical="center"/>
    </xf>
    <xf numFmtId="0" fontId="93" fillId="30" borderId="171" xfId="0" applyFont="1" applyFill="1" applyBorder="1" applyAlignment="1">
      <alignment horizontal="center" vertical="center"/>
    </xf>
    <xf numFmtId="0" fontId="90" fillId="0" borderId="83" xfId="0" applyFont="1" applyBorder="1" applyAlignment="1">
      <alignment horizontal="center" vertical="center"/>
    </xf>
    <xf numFmtId="0" fontId="90" fillId="0" borderId="14" xfId="0" applyFont="1" applyBorder="1" applyAlignment="1">
      <alignment horizontal="center" vertical="center"/>
    </xf>
    <xf numFmtId="0" fontId="90" fillId="0" borderId="170" xfId="0" applyFont="1" applyBorder="1" applyAlignment="1">
      <alignment horizontal="center" vertical="center"/>
    </xf>
    <xf numFmtId="0" fontId="90" fillId="0" borderId="83" xfId="0" applyFont="1" applyBorder="1" applyAlignment="1">
      <alignment horizontal="center" vertical="center" wrapText="1"/>
    </xf>
    <xf numFmtId="0" fontId="90" fillId="0" borderId="169" xfId="0" applyFont="1" applyBorder="1" applyAlignment="1">
      <alignment horizontal="center" vertical="center" wrapText="1"/>
    </xf>
    <xf numFmtId="0" fontId="90" fillId="0" borderId="171" xfId="0" applyFont="1" applyBorder="1" applyAlignment="1">
      <alignment horizontal="center" vertical="center" wrapText="1"/>
    </xf>
    <xf numFmtId="0" fontId="90" fillId="0" borderId="168" xfId="0" applyFont="1" applyBorder="1" applyAlignment="1">
      <alignment horizontal="center" vertical="center" wrapText="1"/>
    </xf>
    <xf numFmtId="164" fontId="54" fillId="0" borderId="168" xfId="29" applyFont="1" applyFill="1" applyBorder="1" applyAlignment="1">
      <alignment horizontal="center" vertical="center"/>
    </xf>
    <xf numFmtId="164" fontId="54" fillId="0" borderId="169" xfId="29" applyFont="1" applyFill="1" applyBorder="1" applyAlignment="1">
      <alignment horizontal="center" vertical="center"/>
    </xf>
    <xf numFmtId="164" fontId="54" fillId="0" borderId="171" xfId="29" applyFont="1" applyFill="1" applyBorder="1" applyAlignment="1">
      <alignment horizontal="center" vertical="center"/>
    </xf>
    <xf numFmtId="164" fontId="54" fillId="34" borderId="167" xfId="29" applyFont="1" applyFill="1" applyBorder="1" applyAlignment="1">
      <alignment horizontal="center" vertical="center"/>
    </xf>
    <xf numFmtId="0" fontId="107" fillId="36" borderId="169" xfId="0" applyFont="1" applyFill="1" applyBorder="1" applyAlignment="1">
      <alignment horizontal="center" vertical="center"/>
    </xf>
    <xf numFmtId="0" fontId="107" fillId="36" borderId="171" xfId="0" applyFont="1" applyFill="1" applyBorder="1" applyAlignment="1">
      <alignment horizontal="center" vertical="center"/>
    </xf>
    <xf numFmtId="0" fontId="90" fillId="0" borderId="175" xfId="0" applyFont="1" applyBorder="1" applyAlignment="1">
      <alignment horizontal="center" vertical="center"/>
    </xf>
    <xf numFmtId="0" fontId="90" fillId="0" borderId="78" xfId="0" applyFont="1" applyBorder="1" applyAlignment="1">
      <alignment horizontal="center" vertical="center"/>
    </xf>
    <xf numFmtId="0" fontId="90" fillId="0" borderId="127" xfId="0" applyFont="1" applyBorder="1" applyAlignment="1">
      <alignment horizontal="center" vertical="center"/>
    </xf>
    <xf numFmtId="0" fontId="90" fillId="0" borderId="177" xfId="0" applyFont="1" applyBorder="1" applyAlignment="1">
      <alignment horizontal="center" vertical="center"/>
    </xf>
    <xf numFmtId="0" fontId="90" fillId="0" borderId="173" xfId="0" applyFont="1" applyBorder="1" applyAlignment="1">
      <alignment horizontal="center" vertical="center"/>
    </xf>
    <xf numFmtId="164" fontId="54" fillId="34" borderId="176" xfId="29" applyFont="1" applyFill="1" applyBorder="1" applyAlignment="1">
      <alignment vertical="center"/>
    </xf>
    <xf numFmtId="164" fontId="54" fillId="34" borderId="173" xfId="29" applyFont="1" applyFill="1" applyBorder="1" applyAlignment="1">
      <alignment vertical="center"/>
    </xf>
    <xf numFmtId="164" fontId="54" fillId="34" borderId="172" xfId="29" applyFont="1" applyFill="1" applyBorder="1" applyAlignment="1">
      <alignment vertical="center"/>
    </xf>
    <xf numFmtId="0" fontId="90" fillId="0" borderId="178" xfId="0" applyFont="1" applyBorder="1" applyAlignment="1">
      <alignment horizontal="center" vertical="center" wrapText="1"/>
    </xf>
    <xf numFmtId="0" fontId="90" fillId="0" borderId="66" xfId="0" applyFont="1" applyBorder="1" applyAlignment="1">
      <alignment horizontal="center" vertical="center" wrapText="1"/>
    </xf>
    <xf numFmtId="0" fontId="90" fillId="0" borderId="52" xfId="0" applyFont="1" applyBorder="1" applyAlignment="1">
      <alignment horizontal="center" vertical="center" wrapText="1"/>
    </xf>
    <xf numFmtId="0" fontId="107" fillId="35" borderId="169" xfId="0" applyFont="1" applyFill="1" applyBorder="1" applyAlignment="1">
      <alignment horizontal="center" vertical="center"/>
    </xf>
    <xf numFmtId="0" fontId="107" fillId="35" borderId="171" xfId="0" applyFont="1" applyFill="1" applyBorder="1" applyAlignment="1">
      <alignment horizontal="center" vertical="center"/>
    </xf>
    <xf numFmtId="0" fontId="93" fillId="30" borderId="167" xfId="0" applyFont="1" applyFill="1" applyBorder="1" applyAlignment="1">
      <alignment horizontal="center" vertical="center" wrapText="1"/>
    </xf>
    <xf numFmtId="0" fontId="93" fillId="30" borderId="167" xfId="0" applyFont="1" applyFill="1" applyBorder="1" applyAlignment="1">
      <alignment horizontal="center" vertical="center"/>
    </xf>
    <xf numFmtId="164" fontId="90" fillId="0" borderId="168" xfId="29" applyFont="1" applyFill="1" applyBorder="1" applyAlignment="1">
      <alignment horizontal="center" vertical="center"/>
    </xf>
    <xf numFmtId="164" fontId="90" fillId="0" borderId="169" xfId="29" applyFont="1" applyFill="1" applyBorder="1" applyAlignment="1">
      <alignment horizontal="center" vertical="center"/>
    </xf>
    <xf numFmtId="164" fontId="90" fillId="0" borderId="170" xfId="29" applyFont="1" applyFill="1" applyBorder="1" applyAlignment="1">
      <alignment horizontal="center" vertical="center"/>
    </xf>
    <xf numFmtId="164" fontId="90" fillId="0" borderId="176" xfId="29" applyFont="1" applyFill="1" applyBorder="1" applyAlignment="1">
      <alignment horizontal="center" vertical="center"/>
    </xf>
    <xf numFmtId="164" fontId="90" fillId="0" borderId="173" xfId="29" applyFont="1" applyFill="1" applyBorder="1" applyAlignment="1">
      <alignment horizontal="center" vertical="center"/>
    </xf>
    <xf numFmtId="164" fontId="90" fillId="0" borderId="174" xfId="29" applyFont="1" applyFill="1" applyBorder="1" applyAlignment="1">
      <alignment horizontal="center" vertical="center"/>
    </xf>
    <xf numFmtId="164" fontId="54" fillId="0" borderId="173" xfId="29" applyFont="1" applyFill="1" applyBorder="1" applyAlignment="1">
      <alignment horizontal="center" vertical="center"/>
    </xf>
    <xf numFmtId="164" fontId="54" fillId="0" borderId="172" xfId="29" applyFont="1" applyFill="1" applyBorder="1" applyAlignment="1">
      <alignment horizontal="center" vertical="center"/>
    </xf>
    <xf numFmtId="0" fontId="107" fillId="33" borderId="169" xfId="0" applyFont="1" applyFill="1" applyBorder="1" applyAlignment="1">
      <alignment horizontal="center" vertical="center"/>
    </xf>
    <xf numFmtId="0" fontId="107" fillId="33" borderId="171" xfId="0" applyFont="1" applyFill="1" applyBorder="1" applyAlignment="1">
      <alignment horizontal="center" vertical="center"/>
    </xf>
    <xf numFmtId="0" fontId="90" fillId="34" borderId="169" xfId="0" applyFont="1" applyFill="1" applyBorder="1" applyAlignment="1">
      <alignment horizontal="center" vertical="center"/>
    </xf>
    <xf numFmtId="0" fontId="90" fillId="34" borderId="171" xfId="0" applyFont="1" applyFill="1" applyBorder="1" applyAlignment="1">
      <alignment horizontal="center" vertical="center"/>
    </xf>
    <xf numFmtId="0" fontId="90" fillId="0" borderId="92" xfId="0" applyFont="1" applyBorder="1" applyAlignment="1">
      <alignment horizontal="center" vertical="center"/>
    </xf>
    <xf numFmtId="0" fontId="90" fillId="0" borderId="93" xfId="0" applyFont="1" applyBorder="1" applyAlignment="1">
      <alignment horizontal="center" vertical="center"/>
    </xf>
    <xf numFmtId="0" fontId="90" fillId="0" borderId="174" xfId="0" applyFont="1" applyBorder="1" applyAlignment="1">
      <alignment horizontal="center" vertical="center"/>
    </xf>
    <xf numFmtId="164" fontId="90" fillId="34" borderId="168" xfId="29" applyFont="1" applyFill="1" applyBorder="1" applyAlignment="1">
      <alignment horizontal="center" vertical="center"/>
    </xf>
    <xf numFmtId="164" fontId="90" fillId="34" borderId="169" xfId="29" applyFont="1" applyFill="1" applyBorder="1" applyAlignment="1">
      <alignment horizontal="center" vertical="center"/>
    </xf>
    <xf numFmtId="164" fontId="90" fillId="34" borderId="170" xfId="29" applyFont="1" applyFill="1" applyBorder="1" applyAlignment="1">
      <alignment horizontal="center" vertical="center"/>
    </xf>
    <xf numFmtId="41" fontId="54" fillId="34" borderId="168" xfId="450" applyFont="1" applyFill="1" applyBorder="1" applyAlignment="1">
      <alignment horizontal="center" vertical="center"/>
    </xf>
    <xf numFmtId="41" fontId="54" fillId="34" borderId="169" xfId="450" applyFont="1" applyFill="1" applyBorder="1" applyAlignment="1">
      <alignment horizontal="center" vertical="center"/>
    </xf>
    <xf numFmtId="41" fontId="54" fillId="34" borderId="170" xfId="450" applyFont="1" applyFill="1" applyBorder="1" applyAlignment="1">
      <alignment horizontal="center" vertical="center"/>
    </xf>
    <xf numFmtId="164" fontId="90" fillId="0" borderId="171" xfId="29" applyFont="1" applyFill="1" applyBorder="1" applyAlignment="1">
      <alignment horizontal="center" vertical="center"/>
    </xf>
    <xf numFmtId="0" fontId="90" fillId="0" borderId="176" xfId="0" applyFont="1" applyBorder="1" applyAlignment="1">
      <alignment horizontal="center" vertical="center"/>
    </xf>
    <xf numFmtId="164" fontId="54" fillId="0" borderId="176" xfId="29" applyFont="1" applyFill="1" applyBorder="1" applyAlignment="1">
      <alignment horizontal="center" vertical="center"/>
    </xf>
    <xf numFmtId="164" fontId="54" fillId="0" borderId="174" xfId="29" applyFont="1" applyFill="1" applyBorder="1" applyAlignment="1">
      <alignment horizontal="center" vertical="center"/>
    </xf>
    <xf numFmtId="0" fontId="93" fillId="0" borderId="11" xfId="0" applyFont="1" applyBorder="1" applyAlignment="1">
      <alignment horizontal="center" vertical="center"/>
    </xf>
    <xf numFmtId="167" fontId="93" fillId="0" borderId="65" xfId="29" applyNumberFormat="1" applyFont="1" applyFill="1" applyBorder="1" applyAlignment="1">
      <alignment vertical="center"/>
    </xf>
    <xf numFmtId="167" fontId="93" fillId="0" borderId="99" xfId="29" applyNumberFormat="1" applyFont="1" applyFill="1" applyBorder="1" applyAlignment="1">
      <alignment vertical="center"/>
    </xf>
  </cellXfs>
  <cellStyles count="2436">
    <cellStyle name=" 1" xfId="64" xr:uid="{00000000-0005-0000-0000-000000000000}"/>
    <cellStyle name=" 1 2" xfId="65" xr:uid="{00000000-0005-0000-0000-000001000000}"/>
    <cellStyle name="??&amp;O?&amp;H?_x0008__x000f__x0007_?_x0007__x0001__x0001_" xfId="66" xr:uid="{00000000-0005-0000-0000-000002000000}"/>
    <cellStyle name="??&amp;O?&amp;H?_x0008_??_x0007__x0001__x0001_" xfId="67" xr:uid="{00000000-0005-0000-0000-000003000000}"/>
    <cellStyle name="_07_기획송부_이자수익(9월 이사회)" xfId="68" xr:uid="{00000000-0005-0000-0000-000004000000}"/>
    <cellStyle name="_07_기획송부_이자수익(9월 이사회)_2008_삼탄자금계획(최종)_sjlee(1)" xfId="69" xr:uid="{00000000-0005-0000-0000-000005000000}"/>
    <cellStyle name="_07_기획송부_이자수익(9월 이사회)_2008_삼탄자금계획(최종)_sjlee(1)_20090904_손익(이사회)" xfId="70" xr:uid="{00000000-0005-0000-0000-000006000000}"/>
    <cellStyle name="_07_기획송부_이자수익(9월 이사회)_2008_삼탄자금계획(최종)_sjlee(1)_20090904_손익(이사회)_20091007-MINTEC_사업계획안(초안)" xfId="71" xr:uid="{00000000-0005-0000-0000-000007000000}"/>
    <cellStyle name="_07_기획송부_이자수익(9월 이사회)_2008_삼탄자금계획(최종)_sjlee(1)_20090904_손익(이사회)_20091007-MINTEC_사업계획안(초안)_20091012-MINTEC_사업계획안(초안)" xfId="72" xr:uid="{00000000-0005-0000-0000-000008000000}"/>
    <cellStyle name="_07_기획송부_이자수익(9월 이사회)_2008_삼탄자금계획(최종)_sjlee(1)_20090904_손익(이사회)_2010년_MINTEC_사업계획안(초안)" xfId="73" xr:uid="{00000000-0005-0000-0000-000009000000}"/>
    <cellStyle name="_07_기획송부_이자수익(9월 이사회)_2008_삼탄자금계획(최종)_sjlee(1)_20090904_손익(이사회)_2010년_MINTEC_사업계획안(초안)_20091012-MINTEC_사업계획안(초안)" xfId="74" xr:uid="{00000000-0005-0000-0000-00000A000000}"/>
    <cellStyle name="_07_기획송부_이자수익(9월 이사회)_2008_삼탄자금계획(최종)_sjlee(1)_20091012-MINTEC_사업계획안(초안)" xfId="75" xr:uid="{00000000-0005-0000-0000-00000B000000}"/>
    <cellStyle name="_07_기획송부_이자수익(9월 이사회)_2008_삼탄자금계획(최종)_sjlee(1)_초안  2010년_MINTEC_사업계획안" xfId="76" xr:uid="{00000000-0005-0000-0000-00000C000000}"/>
    <cellStyle name="_07_기획송부_이자수익(9월 이사회)_2008_삼탄자금계획(최종)_sjlee(1)_초안  2010년_MINTEC_사업계획안_20091007-MINTEC_사업계획안(초안)" xfId="77" xr:uid="{00000000-0005-0000-0000-00000D000000}"/>
    <cellStyle name="_07_기획송부_이자수익(9월 이사회)_2008_삼탄자금계획(최종)_sjlee(1)_초안  2010년_MINTEC_사업계획안_20091007-MINTEC_사업계획안(초안)_20091012-MINTEC_사업계획안(초안)" xfId="78" xr:uid="{00000000-0005-0000-0000-00000E000000}"/>
    <cellStyle name="_07_기획송부_이자수익(9월 이사회)_2008_삼탄자금계획(최종)_sjlee(1)_초안  2010년_MINTEC_사업계획안_2010년_MINTEC_사업계획안(초안)" xfId="79" xr:uid="{00000000-0005-0000-0000-00000F000000}"/>
    <cellStyle name="_07_기획송부_이자수익(9월 이사회)_2008_삼탄자금계획(최종)_sjlee(1)_초안  2010년_MINTEC_사업계획안_2010년_MINTEC_사업계획안(초안)_20091012-MINTEC_사업계획안(초안)" xfId="80" xr:uid="{00000000-0005-0000-0000-000010000000}"/>
    <cellStyle name="_07_기획송부_이자수익(9월 이사회)_20090904_손익(이사회)" xfId="81" xr:uid="{00000000-0005-0000-0000-000011000000}"/>
    <cellStyle name="_07_기획송부_이자수익(9월 이사회)_20090904_손익(이사회)_20091007-MINTEC_사업계획안(초안)" xfId="82" xr:uid="{00000000-0005-0000-0000-000012000000}"/>
    <cellStyle name="_07_기획송부_이자수익(9월 이사회)_20090904_손익(이사회)_20091007-MINTEC_사업계획안(초안)_20091012-MINTEC_사업계획안(초안)" xfId="83" xr:uid="{00000000-0005-0000-0000-000013000000}"/>
    <cellStyle name="_07_기획송부_이자수익(9월 이사회)_20090904_손익(이사회)_2010년_MINTEC_사업계획안(초안)" xfId="84" xr:uid="{00000000-0005-0000-0000-000014000000}"/>
    <cellStyle name="_07_기획송부_이자수익(9월 이사회)_20090904_손익(이사회)_2010년_MINTEC_사업계획안(초안)_20091012-MINTEC_사업계획안(초안)" xfId="85" xr:uid="{00000000-0005-0000-0000-000015000000}"/>
    <cellStyle name="_07_기획송부_이자수익(9월 이사회)_20091012-MINTEC_사업계획안(초안)" xfId="86" xr:uid="{00000000-0005-0000-0000-000016000000}"/>
    <cellStyle name="_07_기획송부_이자수익(9월 이사회)_초안  2010년_MINTEC_사업계획안" xfId="87" xr:uid="{00000000-0005-0000-0000-000017000000}"/>
    <cellStyle name="_07_기획송부_이자수익(9월 이사회)_초안  2010년_MINTEC_사업계획안_20091007-MINTEC_사업계획안(초안)" xfId="88" xr:uid="{00000000-0005-0000-0000-000018000000}"/>
    <cellStyle name="_07_기획송부_이자수익(9월 이사회)_초안  2010년_MINTEC_사업계획안_20091007-MINTEC_사업계획안(초안)_20091012-MINTEC_사업계획안(초안)" xfId="89" xr:uid="{00000000-0005-0000-0000-000019000000}"/>
    <cellStyle name="_07_기획송부_이자수익(9월 이사회)_초안  2010년_MINTEC_사업계획안_2010년_MINTEC_사업계획안(초안)" xfId="90" xr:uid="{00000000-0005-0000-0000-00001A000000}"/>
    <cellStyle name="_07_기획송부_이자수익(9월 이사회)_초안  2010년_MINTEC_사업계획안_2010년_MINTEC_사업계획안(초안)_20091012-MINTEC_사업계획안(초안)" xfId="91" xr:uid="{00000000-0005-0000-0000-00001B000000}"/>
    <cellStyle name="_2006_미수이자" xfId="92" xr:uid="{00000000-0005-0000-0000-00001C000000}"/>
    <cellStyle name="_2006_미수이자_2006_미수이자" xfId="93" xr:uid="{00000000-0005-0000-0000-00001D000000}"/>
    <cellStyle name="_2006_미수이자_2006_미수이자(수정)" xfId="94" xr:uid="{00000000-0005-0000-0000-00001E000000}"/>
    <cellStyle name="_2006_미수이자_2006_미수이자(수정)_2008_삼탄자금계획(최종)_sjlee(1)" xfId="95" xr:uid="{00000000-0005-0000-0000-00001F000000}"/>
    <cellStyle name="_2006_미수이자_2006_미수이자(수정)_2008_삼탄자금계획(최종)_sjlee(1)_20090904_손익(이사회)" xfId="96" xr:uid="{00000000-0005-0000-0000-000020000000}"/>
    <cellStyle name="_2006_미수이자_2006_미수이자(수정)_2008_삼탄자금계획(최종)_sjlee(1)_20090904_손익(이사회)_20091007-MINTEC_사업계획안(초안)" xfId="97" xr:uid="{00000000-0005-0000-0000-000021000000}"/>
    <cellStyle name="_2006_미수이자_2006_미수이자(수정)_2008_삼탄자금계획(최종)_sjlee(1)_20090904_손익(이사회)_20091007-MINTEC_사업계획안(초안)_20091012-MINTEC_사업계획안(초안)" xfId="98" xr:uid="{00000000-0005-0000-0000-000022000000}"/>
    <cellStyle name="_2006_미수이자_2006_미수이자(수정)_2008_삼탄자금계획(최종)_sjlee(1)_20090904_손익(이사회)_2010년_MINTEC_사업계획안(초안)" xfId="99" xr:uid="{00000000-0005-0000-0000-000023000000}"/>
    <cellStyle name="_2006_미수이자_2006_미수이자(수정)_2008_삼탄자금계획(최종)_sjlee(1)_20090904_손익(이사회)_2010년_MINTEC_사업계획안(초안)_20091012-MINTEC_사업계획안(초안)" xfId="100" xr:uid="{00000000-0005-0000-0000-000024000000}"/>
    <cellStyle name="_2006_미수이자_2006_미수이자(수정)_2008_삼탄자금계획(최종)_sjlee(1)_20091012-MINTEC_사업계획안(초안)" xfId="101" xr:uid="{00000000-0005-0000-0000-000025000000}"/>
    <cellStyle name="_2006_미수이자_2006_미수이자(수정)_2008_삼탄자금계획(최종)_sjlee(1)_초안  2010년_MINTEC_사업계획안" xfId="102" xr:uid="{00000000-0005-0000-0000-000026000000}"/>
    <cellStyle name="_2006_미수이자_2006_미수이자(수정)_2008_삼탄자금계획(최종)_sjlee(1)_초안  2010년_MINTEC_사업계획안_20091007-MINTEC_사업계획안(초안)" xfId="103" xr:uid="{00000000-0005-0000-0000-000027000000}"/>
    <cellStyle name="_2006_미수이자_2006_미수이자(수정)_2008_삼탄자금계획(최종)_sjlee(1)_초안  2010년_MINTEC_사업계획안_20091007-MINTEC_사업계획안(초안)_20091012-MINTEC_사업계획안(초안)" xfId="104" xr:uid="{00000000-0005-0000-0000-000028000000}"/>
    <cellStyle name="_2006_미수이자_2006_미수이자(수정)_2008_삼탄자금계획(최종)_sjlee(1)_초안  2010년_MINTEC_사업계획안_2010년_MINTEC_사업계획안(초안)" xfId="105" xr:uid="{00000000-0005-0000-0000-000029000000}"/>
    <cellStyle name="_2006_미수이자_2006_미수이자(수정)_2008_삼탄자금계획(최종)_sjlee(1)_초안  2010년_MINTEC_사업계획안_2010년_MINTEC_사업계획안(초안)_20091012-MINTEC_사업계획안(초안)" xfId="106" xr:uid="{00000000-0005-0000-0000-00002A000000}"/>
    <cellStyle name="_2006_미수이자_2006_미수이자(수정)_20090904_손익(이사회)" xfId="107" xr:uid="{00000000-0005-0000-0000-00002B000000}"/>
    <cellStyle name="_2006_미수이자_2006_미수이자(수정)_20090904_손익(이사회)_20091007-MINTEC_사업계획안(초안)" xfId="108" xr:uid="{00000000-0005-0000-0000-00002C000000}"/>
    <cellStyle name="_2006_미수이자_2006_미수이자(수정)_20090904_손익(이사회)_20091007-MINTEC_사업계획안(초안)_20091012-MINTEC_사업계획안(초안)" xfId="109" xr:uid="{00000000-0005-0000-0000-00002D000000}"/>
    <cellStyle name="_2006_미수이자_2006_미수이자(수정)_20090904_손익(이사회)_2010년_MINTEC_사업계획안(초안)" xfId="110" xr:uid="{00000000-0005-0000-0000-00002E000000}"/>
    <cellStyle name="_2006_미수이자_2006_미수이자(수정)_20090904_손익(이사회)_2010년_MINTEC_사업계획안(초안)_20091012-MINTEC_사업계획안(초안)" xfId="111" xr:uid="{00000000-0005-0000-0000-00002F000000}"/>
    <cellStyle name="_2006_미수이자_2006_미수이자(수정)_20091012-MINTEC_사업계획안(초안)" xfId="112" xr:uid="{00000000-0005-0000-0000-000030000000}"/>
    <cellStyle name="_2006_미수이자_2006_미수이자(수정)_초안  2010년_MINTEC_사업계획안" xfId="113" xr:uid="{00000000-0005-0000-0000-000031000000}"/>
    <cellStyle name="_2006_미수이자_2006_미수이자(수정)_초안  2010년_MINTEC_사업계획안_20091007-MINTEC_사업계획안(초안)" xfId="114" xr:uid="{00000000-0005-0000-0000-000032000000}"/>
    <cellStyle name="_2006_미수이자_2006_미수이자(수정)_초안  2010년_MINTEC_사업계획안_20091007-MINTEC_사업계획안(초안)_20091012-MINTEC_사업계획안(초안)" xfId="115" xr:uid="{00000000-0005-0000-0000-000033000000}"/>
    <cellStyle name="_2006_미수이자_2006_미수이자(수정)_초안  2010년_MINTEC_사업계획안_2010년_MINTEC_사업계획안(초안)" xfId="116" xr:uid="{00000000-0005-0000-0000-000034000000}"/>
    <cellStyle name="_2006_미수이자_2006_미수이자(수정)_초안  2010년_MINTEC_사업계획안_2010년_MINTEC_사업계획안(초안)_20091012-MINTEC_사업계획안(초안)" xfId="117" xr:uid="{00000000-0005-0000-0000-000035000000}"/>
    <cellStyle name="_2006_미수이자_2006_미수이자_2008_삼탄자금계획(최종)_sjlee(1)" xfId="118" xr:uid="{00000000-0005-0000-0000-000036000000}"/>
    <cellStyle name="_2006_미수이자_2006_미수이자_2008_삼탄자금계획(최종)_sjlee(1)_20090904_손익(이사회)" xfId="119" xr:uid="{00000000-0005-0000-0000-000037000000}"/>
    <cellStyle name="_2006_미수이자_2006_미수이자_2008_삼탄자금계획(최종)_sjlee(1)_20090904_손익(이사회)_20091007-MINTEC_사업계획안(초안)" xfId="120" xr:uid="{00000000-0005-0000-0000-000038000000}"/>
    <cellStyle name="_2006_미수이자_2006_미수이자_2008_삼탄자금계획(최종)_sjlee(1)_20090904_손익(이사회)_20091007-MINTEC_사업계획안(초안)_20091012-MINTEC_사업계획안(초안)" xfId="121" xr:uid="{00000000-0005-0000-0000-000039000000}"/>
    <cellStyle name="_2006_미수이자_2006_미수이자_2008_삼탄자금계획(최종)_sjlee(1)_20090904_손익(이사회)_2010년_MINTEC_사업계획안(초안)" xfId="122" xr:uid="{00000000-0005-0000-0000-00003A000000}"/>
    <cellStyle name="_2006_미수이자_2006_미수이자_2008_삼탄자금계획(최종)_sjlee(1)_20090904_손익(이사회)_2010년_MINTEC_사업계획안(초안)_20091012-MINTEC_사업계획안(초안)" xfId="123" xr:uid="{00000000-0005-0000-0000-00003B000000}"/>
    <cellStyle name="_2006_미수이자_2006_미수이자_2008_삼탄자금계획(최종)_sjlee(1)_20091012-MINTEC_사업계획안(초안)" xfId="124" xr:uid="{00000000-0005-0000-0000-00003C000000}"/>
    <cellStyle name="_2006_미수이자_2006_미수이자_2008_삼탄자금계획(최종)_sjlee(1)_초안  2010년_MINTEC_사업계획안" xfId="125" xr:uid="{00000000-0005-0000-0000-00003D000000}"/>
    <cellStyle name="_2006_미수이자_2006_미수이자_2008_삼탄자금계획(최종)_sjlee(1)_초안  2010년_MINTEC_사업계획안_20091007-MINTEC_사업계획안(초안)" xfId="126" xr:uid="{00000000-0005-0000-0000-00003E000000}"/>
    <cellStyle name="_2006_미수이자_2006_미수이자_2008_삼탄자금계획(최종)_sjlee(1)_초안  2010년_MINTEC_사업계획안_20091007-MINTEC_사업계획안(초안)_20091012-MINTEC_사업계획안(초안)" xfId="127" xr:uid="{00000000-0005-0000-0000-00003F000000}"/>
    <cellStyle name="_2006_미수이자_2006_미수이자_2008_삼탄자금계획(최종)_sjlee(1)_초안  2010년_MINTEC_사업계획안_2010년_MINTEC_사업계획안(초안)" xfId="128" xr:uid="{00000000-0005-0000-0000-000040000000}"/>
    <cellStyle name="_2006_미수이자_2006_미수이자_2008_삼탄자금계획(최종)_sjlee(1)_초안  2010년_MINTEC_사업계획안_2010년_MINTEC_사업계획안(초안)_20091012-MINTEC_사업계획안(초안)" xfId="129" xr:uid="{00000000-0005-0000-0000-000041000000}"/>
    <cellStyle name="_2006_미수이자_2006_미수이자_20090904_손익(이사회)" xfId="130" xr:uid="{00000000-0005-0000-0000-000042000000}"/>
    <cellStyle name="_2006_미수이자_2006_미수이자_20090904_손익(이사회)_20091007-MINTEC_사업계획안(초안)" xfId="131" xr:uid="{00000000-0005-0000-0000-000043000000}"/>
    <cellStyle name="_2006_미수이자_2006_미수이자_20090904_손익(이사회)_20091007-MINTEC_사업계획안(초안)_20091012-MINTEC_사업계획안(초안)" xfId="132" xr:uid="{00000000-0005-0000-0000-000044000000}"/>
    <cellStyle name="_2006_미수이자_2006_미수이자_20090904_손익(이사회)_2010년_MINTEC_사업계획안(초안)" xfId="133" xr:uid="{00000000-0005-0000-0000-000045000000}"/>
    <cellStyle name="_2006_미수이자_2006_미수이자_20090904_손익(이사회)_2010년_MINTEC_사업계획안(초안)_20091012-MINTEC_사업계획안(초안)" xfId="134" xr:uid="{00000000-0005-0000-0000-000046000000}"/>
    <cellStyle name="_2006_미수이자_2006_미수이자_20091012-MINTEC_사업계획안(초안)" xfId="135" xr:uid="{00000000-0005-0000-0000-000047000000}"/>
    <cellStyle name="_2006_미수이자_2006_미수이자_초안  2010년_MINTEC_사업계획안" xfId="136" xr:uid="{00000000-0005-0000-0000-000048000000}"/>
    <cellStyle name="_2006_미수이자_2006_미수이자_초안  2010년_MINTEC_사업계획안_20091007-MINTEC_사업계획안(초안)" xfId="137" xr:uid="{00000000-0005-0000-0000-000049000000}"/>
    <cellStyle name="_2006_미수이자_2006_미수이자_초안  2010년_MINTEC_사업계획안_20091007-MINTEC_사업계획안(초안)_20091012-MINTEC_사업계획안(초안)" xfId="138" xr:uid="{00000000-0005-0000-0000-00004A000000}"/>
    <cellStyle name="_2006_미수이자_2006_미수이자_초안  2010년_MINTEC_사업계획안_2010년_MINTEC_사업계획안(초안)" xfId="139" xr:uid="{00000000-0005-0000-0000-00004B000000}"/>
    <cellStyle name="_2006_미수이자_2006_미수이자_초안  2010년_MINTEC_사업계획안_2010년_MINTEC_사업계획안(초안)_20091012-MINTEC_사업계획안(초안)" xfId="140" xr:uid="{00000000-0005-0000-0000-00004C000000}"/>
    <cellStyle name="_2006_미수이자_2007_미수이자" xfId="141" xr:uid="{00000000-0005-0000-0000-00004D000000}"/>
    <cellStyle name="_2006_미수이자_2007_미수이자 (1)" xfId="142" xr:uid="{00000000-0005-0000-0000-00004E000000}"/>
    <cellStyle name="_2006_미수이자_2007_미수이자 (1)_2008_삼탄자금계획(최종)_sjlee(1)" xfId="143" xr:uid="{00000000-0005-0000-0000-00004F000000}"/>
    <cellStyle name="_2006_미수이자_2007_미수이자 (1)_2008_삼탄자금계획(최종)_sjlee(1)_20090904_손익(이사회)" xfId="144" xr:uid="{00000000-0005-0000-0000-000050000000}"/>
    <cellStyle name="_2006_미수이자_2007_미수이자 (1)_2008_삼탄자금계획(최종)_sjlee(1)_20090904_손익(이사회)_20091007-MINTEC_사업계획안(초안)" xfId="145" xr:uid="{00000000-0005-0000-0000-000051000000}"/>
    <cellStyle name="_2006_미수이자_2007_미수이자 (1)_2008_삼탄자금계획(최종)_sjlee(1)_20090904_손익(이사회)_20091007-MINTEC_사업계획안(초안)_20091012-MINTEC_사업계획안(초안)" xfId="146" xr:uid="{00000000-0005-0000-0000-000052000000}"/>
    <cellStyle name="_2006_미수이자_2007_미수이자 (1)_2008_삼탄자금계획(최종)_sjlee(1)_20090904_손익(이사회)_2010년_MINTEC_사업계획안(초안)" xfId="147" xr:uid="{00000000-0005-0000-0000-000053000000}"/>
    <cellStyle name="_2006_미수이자_2007_미수이자 (1)_2008_삼탄자금계획(최종)_sjlee(1)_20090904_손익(이사회)_2010년_MINTEC_사업계획안(초안)_20091012-MINTEC_사업계획안(초안)" xfId="148" xr:uid="{00000000-0005-0000-0000-000054000000}"/>
    <cellStyle name="_2006_미수이자_2007_미수이자 (1)_2008_삼탄자금계획(최종)_sjlee(1)_20091012-MINTEC_사업계획안(초안)" xfId="149" xr:uid="{00000000-0005-0000-0000-000055000000}"/>
    <cellStyle name="_2006_미수이자_2007_미수이자 (1)_2008_삼탄자금계획(최종)_sjlee(1)_초안  2010년_MINTEC_사업계획안" xfId="150" xr:uid="{00000000-0005-0000-0000-000056000000}"/>
    <cellStyle name="_2006_미수이자_2007_미수이자 (1)_2008_삼탄자금계획(최종)_sjlee(1)_초안  2010년_MINTEC_사업계획안_20091007-MINTEC_사업계획안(초안)" xfId="151" xr:uid="{00000000-0005-0000-0000-000057000000}"/>
    <cellStyle name="_2006_미수이자_2007_미수이자 (1)_2008_삼탄자금계획(최종)_sjlee(1)_초안  2010년_MINTEC_사업계획안_20091007-MINTEC_사업계획안(초안)_20091012-MINTEC_사업계획안(초안)" xfId="152" xr:uid="{00000000-0005-0000-0000-000058000000}"/>
    <cellStyle name="_2006_미수이자_2007_미수이자 (1)_2008_삼탄자금계획(최종)_sjlee(1)_초안  2010년_MINTEC_사업계획안_2010년_MINTEC_사업계획안(초안)" xfId="153" xr:uid="{00000000-0005-0000-0000-000059000000}"/>
    <cellStyle name="_2006_미수이자_2007_미수이자 (1)_2008_삼탄자금계획(최종)_sjlee(1)_초안  2010년_MINTEC_사업계획안_2010년_MINTEC_사업계획안(초안)_20091012-MINTEC_사업계획안(초안)" xfId="154" xr:uid="{00000000-0005-0000-0000-00005A000000}"/>
    <cellStyle name="_2006_미수이자_2007_미수이자 (1)_20090904_손익(이사회)" xfId="155" xr:uid="{00000000-0005-0000-0000-00005B000000}"/>
    <cellStyle name="_2006_미수이자_2007_미수이자 (1)_20090904_손익(이사회)_20091007-MINTEC_사업계획안(초안)" xfId="156" xr:uid="{00000000-0005-0000-0000-00005C000000}"/>
    <cellStyle name="_2006_미수이자_2007_미수이자 (1)_20090904_손익(이사회)_20091007-MINTEC_사업계획안(초안)_20091012-MINTEC_사업계획안(초안)" xfId="157" xr:uid="{00000000-0005-0000-0000-00005D000000}"/>
    <cellStyle name="_2006_미수이자_2007_미수이자 (1)_20090904_손익(이사회)_2010년_MINTEC_사업계획안(초안)" xfId="158" xr:uid="{00000000-0005-0000-0000-00005E000000}"/>
    <cellStyle name="_2006_미수이자_2007_미수이자 (1)_20090904_손익(이사회)_2010년_MINTEC_사업계획안(초안)_20091012-MINTEC_사업계획안(초안)" xfId="159" xr:uid="{00000000-0005-0000-0000-00005F000000}"/>
    <cellStyle name="_2006_미수이자_2007_미수이자 (1)_20091012-MINTEC_사업계획안(초안)" xfId="160" xr:uid="{00000000-0005-0000-0000-000060000000}"/>
    <cellStyle name="_2006_미수이자_2007_미수이자 (1)_초안  2010년_MINTEC_사업계획안" xfId="161" xr:uid="{00000000-0005-0000-0000-000061000000}"/>
    <cellStyle name="_2006_미수이자_2007_미수이자 (1)_초안  2010년_MINTEC_사업계획안_20091007-MINTEC_사업계획안(초안)" xfId="162" xr:uid="{00000000-0005-0000-0000-000062000000}"/>
    <cellStyle name="_2006_미수이자_2007_미수이자 (1)_초안  2010년_MINTEC_사업계획안_20091007-MINTEC_사업계획안(초안)_20091012-MINTEC_사업계획안(초안)" xfId="163" xr:uid="{00000000-0005-0000-0000-000063000000}"/>
    <cellStyle name="_2006_미수이자_2007_미수이자 (1)_초안  2010년_MINTEC_사업계획안_2010년_MINTEC_사업계획안(초안)" xfId="164" xr:uid="{00000000-0005-0000-0000-000064000000}"/>
    <cellStyle name="_2006_미수이자_2007_미수이자 (1)_초안  2010년_MINTEC_사업계획안_2010년_MINTEC_사업계획안(초안)_20091012-MINTEC_사업계획안(초안)" xfId="165" xr:uid="{00000000-0005-0000-0000-000065000000}"/>
    <cellStyle name="_2006_미수이자_2007_미수이자_2008_삼탄자금계획(최종)_sjlee(1)" xfId="166" xr:uid="{00000000-0005-0000-0000-000066000000}"/>
    <cellStyle name="_2006_미수이자_2007_미수이자_2008_삼탄자금계획(최종)_sjlee(1)_20090904_손익(이사회)" xfId="167" xr:uid="{00000000-0005-0000-0000-000067000000}"/>
    <cellStyle name="_2006_미수이자_2007_미수이자_2008_삼탄자금계획(최종)_sjlee(1)_20090904_손익(이사회)_20091007-MINTEC_사업계획안(초안)" xfId="168" xr:uid="{00000000-0005-0000-0000-000068000000}"/>
    <cellStyle name="_2006_미수이자_2007_미수이자_2008_삼탄자금계획(최종)_sjlee(1)_20090904_손익(이사회)_20091007-MINTEC_사업계획안(초안)_20091012-MINTEC_사업계획안(초안)" xfId="169" xr:uid="{00000000-0005-0000-0000-000069000000}"/>
    <cellStyle name="_2006_미수이자_2007_미수이자_2008_삼탄자금계획(최종)_sjlee(1)_20090904_손익(이사회)_2010년_MINTEC_사업계획안(초안)" xfId="170" xr:uid="{00000000-0005-0000-0000-00006A000000}"/>
    <cellStyle name="_2006_미수이자_2007_미수이자_2008_삼탄자금계획(최종)_sjlee(1)_20090904_손익(이사회)_2010년_MINTEC_사업계획안(초안)_20091012-MINTEC_사업계획안(초안)" xfId="171" xr:uid="{00000000-0005-0000-0000-00006B000000}"/>
    <cellStyle name="_2006_미수이자_2007_미수이자_2008_삼탄자금계획(최종)_sjlee(1)_20091012-MINTEC_사업계획안(초안)" xfId="172" xr:uid="{00000000-0005-0000-0000-00006C000000}"/>
    <cellStyle name="_2006_미수이자_2007_미수이자_2008_삼탄자금계획(최종)_sjlee(1)_초안  2010년_MINTEC_사업계획안" xfId="173" xr:uid="{00000000-0005-0000-0000-00006D000000}"/>
    <cellStyle name="_2006_미수이자_2007_미수이자_2008_삼탄자금계획(최종)_sjlee(1)_초안  2010년_MINTEC_사업계획안_20091007-MINTEC_사업계획안(초안)" xfId="174" xr:uid="{00000000-0005-0000-0000-00006E000000}"/>
    <cellStyle name="_2006_미수이자_2007_미수이자_2008_삼탄자금계획(최종)_sjlee(1)_초안  2010년_MINTEC_사업계획안_20091007-MINTEC_사업계획안(초안)_20091012-MINTEC_사업계획안(초안)" xfId="175" xr:uid="{00000000-0005-0000-0000-00006F000000}"/>
    <cellStyle name="_2006_미수이자_2007_미수이자_2008_삼탄자금계획(최종)_sjlee(1)_초안  2010년_MINTEC_사업계획안_2010년_MINTEC_사업계획안(초안)" xfId="176" xr:uid="{00000000-0005-0000-0000-000070000000}"/>
    <cellStyle name="_2006_미수이자_2007_미수이자_2008_삼탄자금계획(최종)_sjlee(1)_초안  2010년_MINTEC_사업계획안_2010년_MINTEC_사업계획안(초안)_20091012-MINTEC_사업계획안(초안)" xfId="177" xr:uid="{00000000-0005-0000-0000-000071000000}"/>
    <cellStyle name="_2006_미수이자_2007_미수이자_20090904_손익(이사회)" xfId="178" xr:uid="{00000000-0005-0000-0000-000072000000}"/>
    <cellStyle name="_2006_미수이자_2007_미수이자_20090904_손익(이사회)_20091007-MINTEC_사업계획안(초안)" xfId="179" xr:uid="{00000000-0005-0000-0000-000073000000}"/>
    <cellStyle name="_2006_미수이자_2007_미수이자_20090904_손익(이사회)_20091007-MINTEC_사업계획안(초안)_20091012-MINTEC_사업계획안(초안)" xfId="180" xr:uid="{00000000-0005-0000-0000-000074000000}"/>
    <cellStyle name="_2006_미수이자_2007_미수이자_20090904_손익(이사회)_2010년_MINTEC_사업계획안(초안)" xfId="181" xr:uid="{00000000-0005-0000-0000-000075000000}"/>
    <cellStyle name="_2006_미수이자_2007_미수이자_20090904_손익(이사회)_2010년_MINTEC_사업계획안(초안)_20091012-MINTEC_사업계획안(초안)" xfId="182" xr:uid="{00000000-0005-0000-0000-000076000000}"/>
    <cellStyle name="_2006_미수이자_2007_미수이자_20091012-MINTEC_사업계획안(초안)" xfId="183" xr:uid="{00000000-0005-0000-0000-000077000000}"/>
    <cellStyle name="_2006_미수이자_2007_미수이자_초안  2010년_MINTEC_사업계획안" xfId="184" xr:uid="{00000000-0005-0000-0000-000078000000}"/>
    <cellStyle name="_2006_미수이자_2007_미수이자_초안  2010년_MINTEC_사업계획안_20091007-MINTEC_사업계획안(초안)" xfId="185" xr:uid="{00000000-0005-0000-0000-000079000000}"/>
    <cellStyle name="_2006_미수이자_2007_미수이자_초안  2010년_MINTEC_사업계획안_20091007-MINTEC_사업계획안(초안)_20091012-MINTEC_사업계획안(초안)" xfId="186" xr:uid="{00000000-0005-0000-0000-00007A000000}"/>
    <cellStyle name="_2006_미수이자_2007_미수이자_초안  2010년_MINTEC_사업계획안_2010년_MINTEC_사업계획안(초안)" xfId="187" xr:uid="{00000000-0005-0000-0000-00007B000000}"/>
    <cellStyle name="_2006_미수이자_2007_미수이자_초안  2010년_MINTEC_사업계획안_2010년_MINTEC_사업계획안(초안)_20091012-MINTEC_사업계획안(초안)" xfId="188" xr:uid="{00000000-0005-0000-0000-00007C000000}"/>
    <cellStyle name="_2006_미수이자_2008_삼탄자금계획(최종)_sjlee(1)" xfId="189" xr:uid="{00000000-0005-0000-0000-00007D000000}"/>
    <cellStyle name="_2006_미수이자_2008_삼탄자금계획(최종)_sjlee(1)_20090904_손익(이사회)" xfId="190" xr:uid="{00000000-0005-0000-0000-00007E000000}"/>
    <cellStyle name="_2006_미수이자_2008_삼탄자금계획(최종)_sjlee(1)_20090904_손익(이사회)_20091007-MINTEC_사업계획안(초안)" xfId="191" xr:uid="{00000000-0005-0000-0000-00007F000000}"/>
    <cellStyle name="_2006_미수이자_2008_삼탄자금계획(최종)_sjlee(1)_20090904_손익(이사회)_20091007-MINTEC_사업계획안(초안)_20091012-MINTEC_사업계획안(초안)" xfId="192" xr:uid="{00000000-0005-0000-0000-000080000000}"/>
    <cellStyle name="_2006_미수이자_2008_삼탄자금계획(최종)_sjlee(1)_20090904_손익(이사회)_2010년_MINTEC_사업계획안(초안)" xfId="193" xr:uid="{00000000-0005-0000-0000-000081000000}"/>
    <cellStyle name="_2006_미수이자_2008_삼탄자금계획(최종)_sjlee(1)_20090904_손익(이사회)_2010년_MINTEC_사업계획안(초안)_20091012-MINTEC_사업계획안(초안)" xfId="194" xr:uid="{00000000-0005-0000-0000-000082000000}"/>
    <cellStyle name="_2006_미수이자_2008_삼탄자금계획(최종)_sjlee(1)_20091012-MINTEC_사업계획안(초안)" xfId="195" xr:uid="{00000000-0005-0000-0000-000083000000}"/>
    <cellStyle name="_2006_미수이자_2008_삼탄자금계획(최종)_sjlee(1)_초안  2010년_MINTEC_사업계획안" xfId="196" xr:uid="{00000000-0005-0000-0000-000084000000}"/>
    <cellStyle name="_2006_미수이자_2008_삼탄자금계획(최종)_sjlee(1)_초안  2010년_MINTEC_사업계획안_20091007-MINTEC_사업계획안(초안)" xfId="197" xr:uid="{00000000-0005-0000-0000-000085000000}"/>
    <cellStyle name="_2006_미수이자_2008_삼탄자금계획(최종)_sjlee(1)_초안  2010년_MINTEC_사업계획안_20091007-MINTEC_사업계획안(초안)_20091012-MINTEC_사업계획안(초안)" xfId="198" xr:uid="{00000000-0005-0000-0000-000086000000}"/>
    <cellStyle name="_2006_미수이자_2008_삼탄자금계획(최종)_sjlee(1)_초안  2010년_MINTEC_사업계획안_2010년_MINTEC_사업계획안(초안)" xfId="199" xr:uid="{00000000-0005-0000-0000-000087000000}"/>
    <cellStyle name="_2006_미수이자_2008_삼탄자금계획(최종)_sjlee(1)_초안  2010년_MINTEC_사업계획안_2010년_MINTEC_사업계획안(초안)_20091012-MINTEC_사업계획안(초안)" xfId="200" xr:uid="{00000000-0005-0000-0000-000088000000}"/>
    <cellStyle name="_2006_미수이자_20090904_손익(이사회)" xfId="201" xr:uid="{00000000-0005-0000-0000-000089000000}"/>
    <cellStyle name="_2006_미수이자_20090904_손익(이사회)_20091007-MINTEC_사업계획안(초안)" xfId="202" xr:uid="{00000000-0005-0000-0000-00008A000000}"/>
    <cellStyle name="_2006_미수이자_20090904_손익(이사회)_20091007-MINTEC_사업계획안(초안)_20091012-MINTEC_사업계획안(초안)" xfId="203" xr:uid="{00000000-0005-0000-0000-00008B000000}"/>
    <cellStyle name="_2006_미수이자_20090904_손익(이사회)_2010년_MINTEC_사업계획안(초안)" xfId="204" xr:uid="{00000000-0005-0000-0000-00008C000000}"/>
    <cellStyle name="_2006_미수이자_20090904_손익(이사회)_2010년_MINTEC_사업계획안(초안)_20091012-MINTEC_사업계획안(초안)" xfId="205" xr:uid="{00000000-0005-0000-0000-00008D000000}"/>
    <cellStyle name="_2006_미수이자_20091012-MINTEC_사업계획안(초안)" xfId="206" xr:uid="{00000000-0005-0000-0000-00008E000000}"/>
    <cellStyle name="_2006_미수이자_초안  2010년_MINTEC_사업계획안" xfId="207" xr:uid="{00000000-0005-0000-0000-00008F000000}"/>
    <cellStyle name="_2006_미수이자_초안  2010년_MINTEC_사업계획안_20091007-MINTEC_사업계획안(초안)" xfId="208" xr:uid="{00000000-0005-0000-0000-000090000000}"/>
    <cellStyle name="_2006_미수이자_초안  2010년_MINTEC_사업계획안_20091007-MINTEC_사업계획안(초안)_20091012-MINTEC_사업계획안(초안)" xfId="209" xr:uid="{00000000-0005-0000-0000-000091000000}"/>
    <cellStyle name="_2006_미수이자_초안  2010년_MINTEC_사업계획안_2010년_MINTEC_사업계획안(초안)" xfId="210" xr:uid="{00000000-0005-0000-0000-000092000000}"/>
    <cellStyle name="_2006_미수이자_초안  2010년_MINTEC_사업계획안_2010년_MINTEC_사업계획안(초안)_20091012-MINTEC_사업계획안(초안)" xfId="211" xr:uid="{00000000-0005-0000-0000-000093000000}"/>
    <cellStyle name="_2007_기획송부_이자수익_7월_이사(상반기수익율)" xfId="212" xr:uid="{00000000-0005-0000-0000-000094000000}"/>
    <cellStyle name="_2007_기획송부_이자수익_7월_이사(상반기수익율)_2008_삼탄자금계획(최종)_sjlee(1)" xfId="213" xr:uid="{00000000-0005-0000-0000-000095000000}"/>
    <cellStyle name="_2007_기획송부_이자수익_7월_이사(상반기수익율)_2008_삼탄자금계획(최종)_sjlee(1)_20090904_손익(이사회)" xfId="214" xr:uid="{00000000-0005-0000-0000-000096000000}"/>
    <cellStyle name="_2007_기획송부_이자수익_7월_이사(상반기수익율)_2008_삼탄자금계획(최종)_sjlee(1)_20090904_손익(이사회)_20091007-MINTEC_사업계획안(초안)" xfId="215" xr:uid="{00000000-0005-0000-0000-000097000000}"/>
    <cellStyle name="_2007_기획송부_이자수익_7월_이사(상반기수익율)_2008_삼탄자금계획(최종)_sjlee(1)_20090904_손익(이사회)_20091007-MINTEC_사업계획안(초안)_20091012-MINTEC_사업계획안(초안)" xfId="216" xr:uid="{00000000-0005-0000-0000-000098000000}"/>
    <cellStyle name="_2007_기획송부_이자수익_7월_이사(상반기수익율)_2008_삼탄자금계획(최종)_sjlee(1)_20090904_손익(이사회)_2010년_MINTEC_사업계획안(초안)" xfId="217" xr:uid="{00000000-0005-0000-0000-000099000000}"/>
    <cellStyle name="_2007_기획송부_이자수익_7월_이사(상반기수익율)_2008_삼탄자금계획(최종)_sjlee(1)_20090904_손익(이사회)_2010년_MINTEC_사업계획안(초안)_20091012-MINTEC_사업계획안(초안)" xfId="218" xr:uid="{00000000-0005-0000-0000-00009A000000}"/>
    <cellStyle name="_2007_기획송부_이자수익_7월_이사(상반기수익율)_2008_삼탄자금계획(최종)_sjlee(1)_20091012-MINTEC_사업계획안(초안)" xfId="219" xr:uid="{00000000-0005-0000-0000-00009B000000}"/>
    <cellStyle name="_2007_기획송부_이자수익_7월_이사(상반기수익율)_2008_삼탄자금계획(최종)_sjlee(1)_초안  2010년_MINTEC_사업계획안" xfId="220" xr:uid="{00000000-0005-0000-0000-00009C000000}"/>
    <cellStyle name="_2007_기획송부_이자수익_7월_이사(상반기수익율)_2008_삼탄자금계획(최종)_sjlee(1)_초안  2010년_MINTEC_사업계획안_20091007-MINTEC_사업계획안(초안)" xfId="221" xr:uid="{00000000-0005-0000-0000-00009D000000}"/>
    <cellStyle name="_2007_기획송부_이자수익_7월_이사(상반기수익율)_2008_삼탄자금계획(최종)_sjlee(1)_초안  2010년_MINTEC_사업계획안_20091007-MINTEC_사업계획안(초안)_20091012-MINTEC_사업계획안(초안)" xfId="222" xr:uid="{00000000-0005-0000-0000-00009E000000}"/>
    <cellStyle name="_2007_기획송부_이자수익_7월_이사(상반기수익율)_2008_삼탄자금계획(최종)_sjlee(1)_초안  2010년_MINTEC_사업계획안_2010년_MINTEC_사업계획안(초안)" xfId="223" xr:uid="{00000000-0005-0000-0000-00009F000000}"/>
    <cellStyle name="_2007_기획송부_이자수익_7월_이사(상반기수익율)_2008_삼탄자금계획(최종)_sjlee(1)_초안  2010년_MINTEC_사업계획안_2010년_MINTEC_사업계획안(초안)_20091012-MINTEC_사업계획안(초안)" xfId="224" xr:uid="{00000000-0005-0000-0000-0000A0000000}"/>
    <cellStyle name="_2007_기획송부_이자수익_7월_이사(상반기수익율)_20090904_손익(이사회)" xfId="225" xr:uid="{00000000-0005-0000-0000-0000A1000000}"/>
    <cellStyle name="_2007_기획송부_이자수익_7월_이사(상반기수익율)_20090904_손익(이사회)_20091007-MINTEC_사업계획안(초안)" xfId="226" xr:uid="{00000000-0005-0000-0000-0000A2000000}"/>
    <cellStyle name="_2007_기획송부_이자수익_7월_이사(상반기수익율)_20090904_손익(이사회)_20091007-MINTEC_사업계획안(초안)_20091012-MINTEC_사업계획안(초안)" xfId="227" xr:uid="{00000000-0005-0000-0000-0000A3000000}"/>
    <cellStyle name="_2007_기획송부_이자수익_7월_이사(상반기수익율)_20090904_손익(이사회)_2010년_MINTEC_사업계획안(초안)" xfId="228" xr:uid="{00000000-0005-0000-0000-0000A4000000}"/>
    <cellStyle name="_2007_기획송부_이자수익_7월_이사(상반기수익율)_20090904_손익(이사회)_2010년_MINTEC_사업계획안(초안)_20091012-MINTEC_사업계획안(초안)" xfId="229" xr:uid="{00000000-0005-0000-0000-0000A5000000}"/>
    <cellStyle name="_2007_기획송부_이자수익_7월_이사(상반기수익율)_20091012-MINTEC_사업계획안(초안)" xfId="230" xr:uid="{00000000-0005-0000-0000-0000A6000000}"/>
    <cellStyle name="_2007_기획송부_이자수익_7월_이사(상반기수익율)_초안  2010년_MINTEC_사업계획안" xfId="231" xr:uid="{00000000-0005-0000-0000-0000A7000000}"/>
    <cellStyle name="_2007_기획송부_이자수익_7월_이사(상반기수익율)_초안  2010년_MINTEC_사업계획안_20091007-MINTEC_사업계획안(초안)" xfId="232" xr:uid="{00000000-0005-0000-0000-0000A8000000}"/>
    <cellStyle name="_2007_기획송부_이자수익_7월_이사(상반기수익율)_초안  2010년_MINTEC_사업계획안_20091007-MINTEC_사업계획안(초안)_20091012-MINTEC_사업계획안(초안)" xfId="233" xr:uid="{00000000-0005-0000-0000-0000A9000000}"/>
    <cellStyle name="_2007_기획송부_이자수익_7월_이사(상반기수익율)_초안  2010년_MINTEC_사업계획안_2010년_MINTEC_사업계획안(초안)" xfId="234" xr:uid="{00000000-0005-0000-0000-0000AA000000}"/>
    <cellStyle name="_2007_기획송부_이자수익_7월_이사(상반기수익율)_초안  2010년_MINTEC_사업계획안_2010년_MINTEC_사업계획안(초안)_20091012-MINTEC_사업계획안(초안)" xfId="235" xr:uid="{00000000-0005-0000-0000-0000AB000000}"/>
    <cellStyle name="_2007년 자금 (상반기 실적_하반기 추정)" xfId="236" xr:uid="{00000000-0005-0000-0000-0000AC000000}"/>
    <cellStyle name="_2007년 자금 (상반기 실적_하반기 추정) 2" xfId="237" xr:uid="{00000000-0005-0000-0000-0000AD000000}"/>
    <cellStyle name="_2007년 자금 (상반기 실적_하반기 추정)_01. Weekly report - Engineering Section 01 Jan - 4 Jan 2013" xfId="238" xr:uid="{00000000-0005-0000-0000-0000AE000000}"/>
    <cellStyle name="_2007년 자금 (상반기 실적_하반기 추정)_01. Weekly report - Engineering Section 01 Jan - 4 Jan 2013 2" xfId="239" xr:uid="{00000000-0005-0000-0000-0000AF000000}"/>
    <cellStyle name="_2007년 자금 (상반기 실적_하반기 추정)_01. Weekly report - Engineering Section 01 Jan - 4 Jan 2013 2_Weekly Engineer Pit Service 23-03-2013" xfId="240" xr:uid="{00000000-0005-0000-0000-0000B0000000}"/>
    <cellStyle name="_2007년 자금 (상반기 실적_하반기 추정)_04. Weekly report - Engineering Section 31 Mar - 06 Apr 2012" xfId="241" xr:uid="{00000000-0005-0000-0000-0000B1000000}"/>
    <cellStyle name="_2007년 자금 (상반기 실적_하반기 추정)_04. Weekly report - Engineering Section 31 Mar - 06 Apr 2012 2" xfId="242" xr:uid="{00000000-0005-0000-0000-0000B2000000}"/>
    <cellStyle name="_2007년 자금 (상반기 실적_하반기 추정)_04. Weekly report - Engineering Section 31 Mar - 06 Apr 2012 2_Weekly Engineer Pit Service 23-03-2013" xfId="243" xr:uid="{00000000-0005-0000-0000-0000B3000000}"/>
    <cellStyle name="_2007년 자금 (상반기 실적_하반기 추정)_05. Weekly report - Engineering (Alfian)" xfId="244" xr:uid="{00000000-0005-0000-0000-0000B4000000}"/>
    <cellStyle name="_2007년 자금 (상반기 실적_하반기 추정)_05. Weekly report - Engineering (Alfian) 2" xfId="245" xr:uid="{00000000-0005-0000-0000-0000B5000000}"/>
    <cellStyle name="_2007년 자금 (상반기 실적_하반기 추정)_05. Weekly report - Engineering (Alfian) 2_Weekly Engineer Pit Service 23-03-2013" xfId="246" xr:uid="{00000000-0005-0000-0000-0000B6000000}"/>
    <cellStyle name="_2007년 자금 (상반기 실적_하반기 추정)_05. Weekly report - Engineering Section 26 May - 01 Jun 2012" xfId="247" xr:uid="{00000000-0005-0000-0000-0000B7000000}"/>
    <cellStyle name="_2007년 자금 (상반기 실적_하반기 추정)_05. Weekly report - Engineering Section 26 May - 01 Jun 2012 2" xfId="248" xr:uid="{00000000-0005-0000-0000-0000B8000000}"/>
    <cellStyle name="_2007년 자금 (상반기 실적_하반기 추정)_05. Weekly report - Engineering Section 26 May - 01 Jun 2012 2_Weekly Engineer Pit Service 23-03-2013" xfId="249" xr:uid="{00000000-0005-0000-0000-0000B9000000}"/>
    <cellStyle name="_2007년 자금 (상반기 실적_하반기 추정)_05. Weekly report - Engineering Section 28 Apr - 04 May 2012" xfId="250" xr:uid="{00000000-0005-0000-0000-0000BA000000}"/>
    <cellStyle name="_2007년 자금 (상반기 실적_하반기 추정)_05. Weekly report - Engineering Section 28 Apr - 04 May 2012 2" xfId="251" xr:uid="{00000000-0005-0000-0000-0000BB000000}"/>
    <cellStyle name="_2007년 자금 (상반기 실적_하반기 추정)_05. Weekly report - Engineering Section 28 Apr - 04 May 2012 2_Weekly Engineer Pit Service 23-03-2013" xfId="252" xr:uid="{00000000-0005-0000-0000-0000BC000000}"/>
    <cellStyle name="_2007년 자금 (상반기 실적_하반기 추정)_07. Weekly report - Engineering Section 28 Jul - 03 Aug 2012" xfId="253" xr:uid="{00000000-0005-0000-0000-0000BD000000}"/>
    <cellStyle name="_2007년 자금 (상반기 실적_하반기 추정)_07. Weekly report - Engineering Section 28 Jul - 03 Aug 2012 2" xfId="254" xr:uid="{00000000-0005-0000-0000-0000BE000000}"/>
    <cellStyle name="_2007년 자금 (상반기 실적_하반기 추정)_07. Weekly report - Engineering Section 28 Jul - 03 Aug 2012 2_Weekly Engineer Pit Service 23-03-2013" xfId="255" xr:uid="{00000000-0005-0000-0000-0000BF000000}"/>
    <cellStyle name="_2007년 자금 (상반기 실적_하반기 추정)_07. Weekly report - Engineering Section 30 Jun - 06 Jul 2012" xfId="256" xr:uid="{00000000-0005-0000-0000-0000C0000000}"/>
    <cellStyle name="_2007년 자금 (상반기 실적_하반기 추정)_07. Weekly report - Engineering Section 30 Jun - 06 Jul 2012 2" xfId="257" xr:uid="{00000000-0005-0000-0000-0000C1000000}"/>
    <cellStyle name="_2007년 자금 (상반기 실적_하반기 추정)_07. Weekly report - Engineering Section 30 Jun - 06 Jul 2012 2_Weekly Engineer Pit Service 23-03-2013" xfId="258" xr:uid="{00000000-0005-0000-0000-0000C2000000}"/>
    <cellStyle name="_2007년 자금 (상반기 실적_하반기 추정)_09. Weekly report - Engineering Section 01 Sep - 07 Sep 2012" xfId="259" xr:uid="{00000000-0005-0000-0000-0000C3000000}"/>
    <cellStyle name="_2007년 자금 (상반기 실적_하반기 추정)_09. Weekly report - Engineering Section 01 Sep - 07 Sep 2012 2" xfId="260" xr:uid="{00000000-0005-0000-0000-0000C4000000}"/>
    <cellStyle name="_2007년 자금 (상반기 실적_하반기 추정)_09. Weekly report - Engineering Section 01 Sep - 07 Sep 2012 2_Weekly Engineer Pit Service 23-03-2013" xfId="261" xr:uid="{00000000-0005-0000-0000-0000C5000000}"/>
    <cellStyle name="_2007년 자금 (상반기 실적_하반기 추정)_10. Weekly report - Engineering Section 29 Sep - 05 Oct 2012" xfId="262" xr:uid="{00000000-0005-0000-0000-0000C6000000}"/>
    <cellStyle name="_2007년 자금 (상반기 실적_하반기 추정)_10. Weekly report - Engineering Section 29 Sep - 05 Oct 2012 2" xfId="263" xr:uid="{00000000-0005-0000-0000-0000C7000000}"/>
    <cellStyle name="_2007년 자금 (상반기 실적_하반기 추정)_10. Weekly report - Engineering Section 29 Sep - 05 Oct 2012 2_Weekly Engineer Pit Service 23-03-2013" xfId="264" xr:uid="{00000000-0005-0000-0000-0000C8000000}"/>
    <cellStyle name="_2007년 자금 (상반기 실적_하반기 추정)_11. Weekly report - Engineering Section 03 Nov - 09 Nov 2012" xfId="265" xr:uid="{00000000-0005-0000-0000-0000C9000000}"/>
    <cellStyle name="_2007년 자금 (상반기 실적_하반기 추정)_11. Weekly report - Engineering Section 03 Nov - 09 Nov 2012 2" xfId="266" xr:uid="{00000000-0005-0000-0000-0000CA000000}"/>
    <cellStyle name="_2007년 자금 (상반기 실적_하반기 추정)_11. Weekly report - Engineering Section 03 Nov - 09 Nov 2012 2_Weekly Engineer Pit Service 23-03-2013" xfId="267" xr:uid="{00000000-0005-0000-0000-0000CB000000}"/>
    <cellStyle name="_2007년 자금 (상반기 실적_하반기 추정)_12. Weekly report - Engineering Section 01 Dec - 07 Dec 2012" xfId="268" xr:uid="{00000000-0005-0000-0000-0000CC000000}"/>
    <cellStyle name="_2007년 자금 (상반기 실적_하반기 추정)_12. Weekly report - Engineering Section 01 Dec - 07 Dec 2012 2" xfId="269" xr:uid="{00000000-0005-0000-0000-0000CD000000}"/>
    <cellStyle name="_2007년 자금 (상반기 실적_하반기 추정)_12. Weekly report - Engineering Section 01 Dec - 07 Dec 2012 2_Weekly Engineer Pit Service 23-03-2013" xfId="270" xr:uid="{00000000-0005-0000-0000-0000CE000000}"/>
    <cellStyle name="_2007년 자금 (상반기 실적_하반기 추정)_Area PT. Buma" xfId="271" xr:uid="{00000000-0005-0000-0000-0000CF000000}"/>
    <cellStyle name="_2007년 자금 (상반기 실적_하반기 추정)_Area PT. Buma 2" xfId="272" xr:uid="{00000000-0005-0000-0000-0000D0000000}"/>
    <cellStyle name="_2007년 자금 (상반기 실적_하반기 추정)_Area PT. Buma 2_Weekly Engineer Pit Service 23-03-2013" xfId="273" xr:uid="{00000000-0005-0000-0000-0000D1000000}"/>
    <cellStyle name="_2007년 자금 (상반기 실적_하반기 추정)_Area PT. Sims_RN" xfId="274" xr:uid="{00000000-0005-0000-0000-0000D2000000}"/>
    <cellStyle name="_2007년 자금 (상반기 실적_하반기 추정)_Area PT. Sims_RN 2" xfId="275" xr:uid="{00000000-0005-0000-0000-0000D3000000}"/>
    <cellStyle name="_2007년 자금 (상반기 실적_하반기 추정)_Area PT. Sims_RN 2_Weekly Engineer Pit Service 23-03-2013" xfId="276" xr:uid="{00000000-0005-0000-0000-0000D4000000}"/>
    <cellStyle name="_2007년 자금 (상반기 실적_하반기 추정)_Area PT. Sims_SM A" xfId="277" xr:uid="{00000000-0005-0000-0000-0000D5000000}"/>
    <cellStyle name="_2007년 자금 (상반기 실적_하반기 추정)_Area PT. Sims_SM A 2" xfId="278" xr:uid="{00000000-0005-0000-0000-0000D6000000}"/>
    <cellStyle name="_2007년 자금 (상반기 실적_하반기 추정)_Area PT. Sims_SM A 2_Weekly Engineer Pit Service 23-03-2013" xfId="279" xr:uid="{00000000-0005-0000-0000-0000D7000000}"/>
    <cellStyle name="_2007년 자금 (상반기 실적_하반기 추정)_Copy of 05. Weekly report - Engineering (Alfian)" xfId="280" xr:uid="{00000000-0005-0000-0000-0000D8000000}"/>
    <cellStyle name="_2007년 자금 (상반기 실적_하반기 추정)_Copy of 05. Weekly report - Engineering (Alfian) 2" xfId="281" xr:uid="{00000000-0005-0000-0000-0000D9000000}"/>
    <cellStyle name="_2007년 자금 (상반기 실적_하반기 추정)_Copy of 05. Weekly report - Engineering (Alfian) 2_Weekly Engineer Pit Service 23-03-2013" xfId="282" xr:uid="{00000000-0005-0000-0000-0000DA000000}"/>
    <cellStyle name="_2007년 자금 (상반기 실적_하반기 추정)_Weekly Engineer Pit Service 23-03-2013" xfId="283" xr:uid="{00000000-0005-0000-0000-0000DB000000}"/>
    <cellStyle name="_Samtan사업계획서(최종_061207,환율920)" xfId="284" xr:uid="{00000000-0005-0000-0000-0000DC000000}"/>
    <cellStyle name="_Samtan사업계획서(최종_061207,환율920) 2" xfId="285" xr:uid="{00000000-0005-0000-0000-0000DD000000}"/>
    <cellStyle name="_Samtan사업계획서(최종_061207,환율920)_01. Weekly report - Engineering Section 01 Jan - 4 Jan 2013" xfId="286" xr:uid="{00000000-0005-0000-0000-0000DE000000}"/>
    <cellStyle name="_Samtan사업계획서(최종_061207,환율920)_01. Weekly report - Engineering Section 01 Jan - 4 Jan 2013 2" xfId="287" xr:uid="{00000000-0005-0000-0000-0000DF000000}"/>
    <cellStyle name="_Samtan사업계획서(최종_061207,환율920)_01. Weekly report - Engineering Section 01 Jan - 4 Jan 2013 2_Weekly Engineer Pit Service 23-03-2013" xfId="288" xr:uid="{00000000-0005-0000-0000-0000E0000000}"/>
    <cellStyle name="_Samtan사업계획서(최종_061207,환율920)_04. Weekly report - Engineering Section 31 Mar - 06 Apr 2012" xfId="289" xr:uid="{00000000-0005-0000-0000-0000E1000000}"/>
    <cellStyle name="_Samtan사업계획서(최종_061207,환율920)_04. Weekly report - Engineering Section 31 Mar - 06 Apr 2012 2" xfId="290" xr:uid="{00000000-0005-0000-0000-0000E2000000}"/>
    <cellStyle name="_Samtan사업계획서(최종_061207,환율920)_04. Weekly report - Engineering Section 31 Mar - 06 Apr 2012 2_Weekly Engineer Pit Service 23-03-2013" xfId="291" xr:uid="{00000000-0005-0000-0000-0000E3000000}"/>
    <cellStyle name="_Samtan사업계획서(최종_061207,환율920)_05. Weekly report - Engineering (Alfian)" xfId="292" xr:uid="{00000000-0005-0000-0000-0000E4000000}"/>
    <cellStyle name="_Samtan사업계획서(최종_061207,환율920)_05. Weekly report - Engineering (Alfian) 2" xfId="293" xr:uid="{00000000-0005-0000-0000-0000E5000000}"/>
    <cellStyle name="_Samtan사업계획서(최종_061207,환율920)_05. Weekly report - Engineering (Alfian) 2_Weekly Engineer Pit Service 23-03-2013" xfId="294" xr:uid="{00000000-0005-0000-0000-0000E6000000}"/>
    <cellStyle name="_Samtan사업계획서(최종_061207,환율920)_05. Weekly report - Engineering Section 26 May - 01 Jun 2012" xfId="295" xr:uid="{00000000-0005-0000-0000-0000E7000000}"/>
    <cellStyle name="_Samtan사업계획서(최종_061207,환율920)_05. Weekly report - Engineering Section 26 May - 01 Jun 2012 2" xfId="296" xr:uid="{00000000-0005-0000-0000-0000E8000000}"/>
    <cellStyle name="_Samtan사업계획서(최종_061207,환율920)_05. Weekly report - Engineering Section 26 May - 01 Jun 2012 2_Weekly Engineer Pit Service 23-03-2013" xfId="297" xr:uid="{00000000-0005-0000-0000-0000E9000000}"/>
    <cellStyle name="_Samtan사업계획서(최종_061207,환율920)_05. Weekly report - Engineering Section 28 Apr - 04 May 2012" xfId="298" xr:uid="{00000000-0005-0000-0000-0000EA000000}"/>
    <cellStyle name="_Samtan사업계획서(최종_061207,환율920)_05. Weekly report - Engineering Section 28 Apr - 04 May 2012 2" xfId="299" xr:uid="{00000000-0005-0000-0000-0000EB000000}"/>
    <cellStyle name="_Samtan사업계획서(최종_061207,환율920)_05. Weekly report - Engineering Section 28 Apr - 04 May 2012 2_Weekly Engineer Pit Service 23-03-2013" xfId="300" xr:uid="{00000000-0005-0000-0000-0000EC000000}"/>
    <cellStyle name="_Samtan사업계획서(최종_061207,환율920)_07. Weekly report - Engineering Section 28 Jul - 03 Aug 2012" xfId="301" xr:uid="{00000000-0005-0000-0000-0000ED000000}"/>
    <cellStyle name="_Samtan사업계획서(최종_061207,환율920)_07. Weekly report - Engineering Section 28 Jul - 03 Aug 2012 2" xfId="302" xr:uid="{00000000-0005-0000-0000-0000EE000000}"/>
    <cellStyle name="_Samtan사업계획서(최종_061207,환율920)_07. Weekly report - Engineering Section 28 Jul - 03 Aug 2012 2_Weekly Engineer Pit Service 23-03-2013" xfId="303" xr:uid="{00000000-0005-0000-0000-0000EF000000}"/>
    <cellStyle name="_Samtan사업계획서(최종_061207,환율920)_07. Weekly report - Engineering Section 30 Jun - 06 Jul 2012" xfId="304" xr:uid="{00000000-0005-0000-0000-0000F0000000}"/>
    <cellStyle name="_Samtan사업계획서(최종_061207,환율920)_07. Weekly report - Engineering Section 30 Jun - 06 Jul 2012 2" xfId="305" xr:uid="{00000000-0005-0000-0000-0000F1000000}"/>
    <cellStyle name="_Samtan사업계획서(최종_061207,환율920)_07. Weekly report - Engineering Section 30 Jun - 06 Jul 2012 2_Weekly Engineer Pit Service 23-03-2013" xfId="306" xr:uid="{00000000-0005-0000-0000-0000F2000000}"/>
    <cellStyle name="_Samtan사업계획서(최종_061207,환율920)_09. Weekly report - Engineering Section 01 Sep - 07 Sep 2012" xfId="307" xr:uid="{00000000-0005-0000-0000-0000F3000000}"/>
    <cellStyle name="_Samtan사업계획서(최종_061207,환율920)_09. Weekly report - Engineering Section 01 Sep - 07 Sep 2012 2" xfId="308" xr:uid="{00000000-0005-0000-0000-0000F4000000}"/>
    <cellStyle name="_Samtan사업계획서(최종_061207,환율920)_09. Weekly report - Engineering Section 01 Sep - 07 Sep 2012 2_Weekly Engineer Pit Service 23-03-2013" xfId="309" xr:uid="{00000000-0005-0000-0000-0000F5000000}"/>
    <cellStyle name="_Samtan사업계획서(최종_061207,환율920)_10. Weekly report - Engineering Section 29 Sep - 05 Oct 2012" xfId="310" xr:uid="{00000000-0005-0000-0000-0000F6000000}"/>
    <cellStyle name="_Samtan사업계획서(최종_061207,환율920)_10. Weekly report - Engineering Section 29 Sep - 05 Oct 2012 2" xfId="311" xr:uid="{00000000-0005-0000-0000-0000F7000000}"/>
    <cellStyle name="_Samtan사업계획서(최종_061207,환율920)_10. Weekly report - Engineering Section 29 Sep - 05 Oct 2012 2_Weekly Engineer Pit Service 23-03-2013" xfId="312" xr:uid="{00000000-0005-0000-0000-0000F8000000}"/>
    <cellStyle name="_Samtan사업계획서(최종_061207,환율920)_11. Weekly report - Engineering Section 03 Nov - 09 Nov 2012" xfId="313" xr:uid="{00000000-0005-0000-0000-0000F9000000}"/>
    <cellStyle name="_Samtan사업계획서(최종_061207,환율920)_11. Weekly report - Engineering Section 03 Nov - 09 Nov 2012 2" xfId="314" xr:uid="{00000000-0005-0000-0000-0000FA000000}"/>
    <cellStyle name="_Samtan사업계획서(최종_061207,환율920)_11. Weekly report - Engineering Section 03 Nov - 09 Nov 2012 2_Weekly Engineer Pit Service 23-03-2013" xfId="315" xr:uid="{00000000-0005-0000-0000-0000FB000000}"/>
    <cellStyle name="_Samtan사업계획서(최종_061207,환율920)_12. Weekly report - Engineering Section 01 Dec - 07 Dec 2012" xfId="316" xr:uid="{00000000-0005-0000-0000-0000FC000000}"/>
    <cellStyle name="_Samtan사업계획서(최종_061207,환율920)_12. Weekly report - Engineering Section 01 Dec - 07 Dec 2012 2" xfId="317" xr:uid="{00000000-0005-0000-0000-0000FD000000}"/>
    <cellStyle name="_Samtan사업계획서(최종_061207,환율920)_12. Weekly report - Engineering Section 01 Dec - 07 Dec 2012 2_Weekly Engineer Pit Service 23-03-2013" xfId="318" xr:uid="{00000000-0005-0000-0000-0000FE000000}"/>
    <cellStyle name="_Samtan사업계획서(최종_061207,환율920)_Area PT. Buma" xfId="319" xr:uid="{00000000-0005-0000-0000-0000FF000000}"/>
    <cellStyle name="_Samtan사업계획서(최종_061207,환율920)_Area PT. Buma 2" xfId="320" xr:uid="{00000000-0005-0000-0000-000000010000}"/>
    <cellStyle name="_Samtan사업계획서(최종_061207,환율920)_Area PT. Buma 2_Weekly Engineer Pit Service 23-03-2013" xfId="321" xr:uid="{00000000-0005-0000-0000-000001010000}"/>
    <cellStyle name="_Samtan사업계획서(최종_061207,환율920)_Area PT. Sims_RN" xfId="322" xr:uid="{00000000-0005-0000-0000-000002010000}"/>
    <cellStyle name="_Samtan사업계획서(최종_061207,환율920)_Area PT. Sims_RN 2" xfId="323" xr:uid="{00000000-0005-0000-0000-000003010000}"/>
    <cellStyle name="_Samtan사업계획서(최종_061207,환율920)_Area PT. Sims_RN 2_Weekly Engineer Pit Service 23-03-2013" xfId="324" xr:uid="{00000000-0005-0000-0000-000004010000}"/>
    <cellStyle name="_Samtan사업계획서(최종_061207,환율920)_Area PT. Sims_SM A" xfId="325" xr:uid="{00000000-0005-0000-0000-000005010000}"/>
    <cellStyle name="_Samtan사업계획서(최종_061207,환율920)_Area PT. Sims_SM A 2" xfId="326" xr:uid="{00000000-0005-0000-0000-000006010000}"/>
    <cellStyle name="_Samtan사업계획서(최종_061207,환율920)_Area PT. Sims_SM A 2_Weekly Engineer Pit Service 23-03-2013" xfId="327" xr:uid="{00000000-0005-0000-0000-000007010000}"/>
    <cellStyle name="_Samtan사업계획서(최종_061207,환율920)_Copy of 05. Weekly report - Engineering (Alfian)" xfId="328" xr:uid="{00000000-0005-0000-0000-000008010000}"/>
    <cellStyle name="_Samtan사업계획서(최종_061207,환율920)_Copy of 05. Weekly report - Engineering (Alfian) 2" xfId="329" xr:uid="{00000000-0005-0000-0000-000009010000}"/>
    <cellStyle name="_Samtan사업계획서(최종_061207,환율920)_Copy of 05. Weekly report - Engineering (Alfian) 2_Weekly Engineer Pit Service 23-03-2013" xfId="330" xr:uid="{00000000-0005-0000-0000-00000A010000}"/>
    <cellStyle name="_Samtan사업계획서(최종_061207,환율920)_Weekly Engineer Pit Service 23-03-2013" xfId="331" xr:uid="{00000000-0005-0000-0000-00000B010000}"/>
    <cellStyle name="W_repair-duri" xfId="332" xr:uid="{00000000-0005-0000-0000-00000C010000}"/>
    <cellStyle name="20% - Accent1 2" xfId="1" xr:uid="{00000000-0005-0000-0000-00000D010000}"/>
    <cellStyle name="20% - Accent1 2 2" xfId="333" xr:uid="{00000000-0005-0000-0000-00000E010000}"/>
    <cellStyle name="20% - Accent1 2 2 2" xfId="334" xr:uid="{00000000-0005-0000-0000-00000F010000}"/>
    <cellStyle name="20% - Accent1 2 3" xfId="335" xr:uid="{00000000-0005-0000-0000-000010010000}"/>
    <cellStyle name="20% - Accent1 3" xfId="336" xr:uid="{00000000-0005-0000-0000-000011010000}"/>
    <cellStyle name="20% - Accent2 2" xfId="2" xr:uid="{00000000-0005-0000-0000-000012010000}"/>
    <cellStyle name="20% - Accent2 2 2" xfId="337" xr:uid="{00000000-0005-0000-0000-000013010000}"/>
    <cellStyle name="20% - Accent2 2 2 2" xfId="338" xr:uid="{00000000-0005-0000-0000-000014010000}"/>
    <cellStyle name="20% - Accent2 2 3" xfId="339" xr:uid="{00000000-0005-0000-0000-000015010000}"/>
    <cellStyle name="20% - Accent2 3" xfId="340" xr:uid="{00000000-0005-0000-0000-000016010000}"/>
    <cellStyle name="20% - Accent3 2" xfId="3" xr:uid="{00000000-0005-0000-0000-000017010000}"/>
    <cellStyle name="20% - Accent3 2 2" xfId="341" xr:uid="{00000000-0005-0000-0000-000018010000}"/>
    <cellStyle name="20% - Accent3 2 2 2" xfId="342" xr:uid="{00000000-0005-0000-0000-000019010000}"/>
    <cellStyle name="20% - Accent3 2 3" xfId="343" xr:uid="{00000000-0005-0000-0000-00001A010000}"/>
    <cellStyle name="20% - Accent3 3" xfId="344" xr:uid="{00000000-0005-0000-0000-00001B010000}"/>
    <cellStyle name="20% - Accent4 2" xfId="4" xr:uid="{00000000-0005-0000-0000-00001C010000}"/>
    <cellStyle name="20% - Accent4 2 2" xfId="345" xr:uid="{00000000-0005-0000-0000-00001D010000}"/>
    <cellStyle name="20% - Accent4 2 2 2" xfId="346" xr:uid="{00000000-0005-0000-0000-00001E010000}"/>
    <cellStyle name="20% - Accent4 2 3" xfId="347" xr:uid="{00000000-0005-0000-0000-00001F010000}"/>
    <cellStyle name="20% - Accent4 3" xfId="348" xr:uid="{00000000-0005-0000-0000-000020010000}"/>
    <cellStyle name="20% - Accent5 2" xfId="5" xr:uid="{00000000-0005-0000-0000-000021010000}"/>
    <cellStyle name="20% - Accent5 2 2" xfId="349" xr:uid="{00000000-0005-0000-0000-000022010000}"/>
    <cellStyle name="20% - Accent5 2 3" xfId="350" xr:uid="{00000000-0005-0000-0000-000023010000}"/>
    <cellStyle name="20% - Accent5 3" xfId="351" xr:uid="{00000000-0005-0000-0000-000024010000}"/>
    <cellStyle name="20% - Accent6 2" xfId="6" xr:uid="{00000000-0005-0000-0000-000025010000}"/>
    <cellStyle name="20% - Accent6 2 2" xfId="352" xr:uid="{00000000-0005-0000-0000-000026010000}"/>
    <cellStyle name="20% - Accent6 2 3" xfId="353" xr:uid="{00000000-0005-0000-0000-000027010000}"/>
    <cellStyle name="20% - Accent6 3" xfId="354" xr:uid="{00000000-0005-0000-0000-000028010000}"/>
    <cellStyle name="20% - 강조색1" xfId="355" xr:uid="{00000000-0005-0000-0000-000029010000}"/>
    <cellStyle name="20% - 강조색2" xfId="356" xr:uid="{00000000-0005-0000-0000-00002A010000}"/>
    <cellStyle name="20% - 강조색3" xfId="357" xr:uid="{00000000-0005-0000-0000-00002B010000}"/>
    <cellStyle name="20% - 강조색4" xfId="358" xr:uid="{00000000-0005-0000-0000-00002C010000}"/>
    <cellStyle name="20% - 강조색5" xfId="359" xr:uid="{00000000-0005-0000-0000-00002D010000}"/>
    <cellStyle name="20% - 강조색6" xfId="360" xr:uid="{00000000-0005-0000-0000-00002E010000}"/>
    <cellStyle name="40% - Accent1 2" xfId="7" xr:uid="{00000000-0005-0000-0000-00002F010000}"/>
    <cellStyle name="40% - Accent1 2 2" xfId="361" xr:uid="{00000000-0005-0000-0000-000030010000}"/>
    <cellStyle name="40% - Accent1 2 2 2" xfId="362" xr:uid="{00000000-0005-0000-0000-000031010000}"/>
    <cellStyle name="40% - Accent1 2 3" xfId="363" xr:uid="{00000000-0005-0000-0000-000032010000}"/>
    <cellStyle name="40% - Accent1 3" xfId="364" xr:uid="{00000000-0005-0000-0000-000033010000}"/>
    <cellStyle name="40% - Accent2 2" xfId="8" xr:uid="{00000000-0005-0000-0000-000034010000}"/>
    <cellStyle name="40% - Accent2 2 2" xfId="365" xr:uid="{00000000-0005-0000-0000-000035010000}"/>
    <cellStyle name="40% - Accent2 2 3" xfId="366" xr:uid="{00000000-0005-0000-0000-000036010000}"/>
    <cellStyle name="40% - Accent2 3" xfId="367" xr:uid="{00000000-0005-0000-0000-000037010000}"/>
    <cellStyle name="40% - Accent3 2" xfId="9" xr:uid="{00000000-0005-0000-0000-000038010000}"/>
    <cellStyle name="40% - Accent3 2 2" xfId="368" xr:uid="{00000000-0005-0000-0000-000039010000}"/>
    <cellStyle name="40% - Accent3 2 2 2" xfId="369" xr:uid="{00000000-0005-0000-0000-00003A010000}"/>
    <cellStyle name="40% - Accent3 2 3" xfId="370" xr:uid="{00000000-0005-0000-0000-00003B010000}"/>
    <cellStyle name="40% - Accent3 3" xfId="371" xr:uid="{00000000-0005-0000-0000-00003C010000}"/>
    <cellStyle name="40% - Accent4 2" xfId="10" xr:uid="{00000000-0005-0000-0000-00003D010000}"/>
    <cellStyle name="40% - Accent4 2 2" xfId="372" xr:uid="{00000000-0005-0000-0000-00003E010000}"/>
    <cellStyle name="40% - Accent4 2 2 2" xfId="373" xr:uid="{00000000-0005-0000-0000-00003F010000}"/>
    <cellStyle name="40% - Accent4 2 3" xfId="374" xr:uid="{00000000-0005-0000-0000-000040010000}"/>
    <cellStyle name="40% - Accent4 3" xfId="375" xr:uid="{00000000-0005-0000-0000-000041010000}"/>
    <cellStyle name="40% - Accent5 2" xfId="11" xr:uid="{00000000-0005-0000-0000-000042010000}"/>
    <cellStyle name="40% - Accent5 2 2" xfId="376" xr:uid="{00000000-0005-0000-0000-000043010000}"/>
    <cellStyle name="40% - Accent5 2 3" xfId="377" xr:uid="{00000000-0005-0000-0000-000044010000}"/>
    <cellStyle name="40% - Accent5 3" xfId="378" xr:uid="{00000000-0005-0000-0000-000045010000}"/>
    <cellStyle name="40% - Accent6 2" xfId="12" xr:uid="{00000000-0005-0000-0000-000046010000}"/>
    <cellStyle name="40% - Accent6 2 2" xfId="379" xr:uid="{00000000-0005-0000-0000-000047010000}"/>
    <cellStyle name="40% - Accent6 2 2 2" xfId="380" xr:uid="{00000000-0005-0000-0000-000048010000}"/>
    <cellStyle name="40% - Accent6 2 3" xfId="381" xr:uid="{00000000-0005-0000-0000-000049010000}"/>
    <cellStyle name="40% - Accent6 3" xfId="382" xr:uid="{00000000-0005-0000-0000-00004A010000}"/>
    <cellStyle name="40% - 강조색1" xfId="383" xr:uid="{00000000-0005-0000-0000-00004B010000}"/>
    <cellStyle name="40% - 강조색2" xfId="384" xr:uid="{00000000-0005-0000-0000-00004C010000}"/>
    <cellStyle name="40% - 강조색3" xfId="385" xr:uid="{00000000-0005-0000-0000-00004D010000}"/>
    <cellStyle name="40% - 강조색4" xfId="386" xr:uid="{00000000-0005-0000-0000-00004E010000}"/>
    <cellStyle name="40% - 강조색5" xfId="387" xr:uid="{00000000-0005-0000-0000-00004F010000}"/>
    <cellStyle name="40% - 강조색6" xfId="388" xr:uid="{00000000-0005-0000-0000-000050010000}"/>
    <cellStyle name="60% - Accent1 2" xfId="13" xr:uid="{00000000-0005-0000-0000-000051010000}"/>
    <cellStyle name="60% - Accent1 2 2" xfId="389" xr:uid="{00000000-0005-0000-0000-000052010000}"/>
    <cellStyle name="60% - Accent1 2 2 2" xfId="390" xr:uid="{00000000-0005-0000-0000-000053010000}"/>
    <cellStyle name="60% - Accent1 2 3" xfId="391" xr:uid="{00000000-0005-0000-0000-000054010000}"/>
    <cellStyle name="60% - Accent1 3" xfId="392" xr:uid="{00000000-0005-0000-0000-000055010000}"/>
    <cellStyle name="60% - Accent2 2" xfId="14" xr:uid="{00000000-0005-0000-0000-000056010000}"/>
    <cellStyle name="60% - Accent2 2 2" xfId="393" xr:uid="{00000000-0005-0000-0000-000057010000}"/>
    <cellStyle name="60% - Accent2 2 3" xfId="394" xr:uid="{00000000-0005-0000-0000-000058010000}"/>
    <cellStyle name="60% - Accent2 3" xfId="395" xr:uid="{00000000-0005-0000-0000-000059010000}"/>
    <cellStyle name="60% - Accent3 2" xfId="15" xr:uid="{00000000-0005-0000-0000-00005A010000}"/>
    <cellStyle name="60% - Accent3 2 2" xfId="396" xr:uid="{00000000-0005-0000-0000-00005B010000}"/>
    <cellStyle name="60% - Accent3 2 2 2" xfId="397" xr:uid="{00000000-0005-0000-0000-00005C010000}"/>
    <cellStyle name="60% - Accent3 2 3" xfId="398" xr:uid="{00000000-0005-0000-0000-00005D010000}"/>
    <cellStyle name="60% - Accent3 3" xfId="399" xr:uid="{00000000-0005-0000-0000-00005E010000}"/>
    <cellStyle name="60% - Accent4 2" xfId="16" xr:uid="{00000000-0005-0000-0000-00005F010000}"/>
    <cellStyle name="60% - Accent4 2 2" xfId="400" xr:uid="{00000000-0005-0000-0000-000060010000}"/>
    <cellStyle name="60% - Accent4 2 2 2" xfId="401" xr:uid="{00000000-0005-0000-0000-000061010000}"/>
    <cellStyle name="60% - Accent4 2 3" xfId="402" xr:uid="{00000000-0005-0000-0000-000062010000}"/>
    <cellStyle name="60% - Accent4 3" xfId="403" xr:uid="{00000000-0005-0000-0000-000063010000}"/>
    <cellStyle name="60% - Accent5 2" xfId="17" xr:uid="{00000000-0005-0000-0000-000064010000}"/>
    <cellStyle name="60% - Accent5 2 2" xfId="404" xr:uid="{00000000-0005-0000-0000-000065010000}"/>
    <cellStyle name="60% - Accent5 2 3" xfId="405" xr:uid="{00000000-0005-0000-0000-000066010000}"/>
    <cellStyle name="60% - Accent5 3" xfId="406" xr:uid="{00000000-0005-0000-0000-000067010000}"/>
    <cellStyle name="60% - Accent6 2" xfId="18" xr:uid="{00000000-0005-0000-0000-000068010000}"/>
    <cellStyle name="60% - Accent6 2 2" xfId="407" xr:uid="{00000000-0005-0000-0000-000069010000}"/>
    <cellStyle name="60% - Accent6 2 2 2" xfId="408" xr:uid="{00000000-0005-0000-0000-00006A010000}"/>
    <cellStyle name="60% - Accent6 2 3" xfId="409" xr:uid="{00000000-0005-0000-0000-00006B010000}"/>
    <cellStyle name="60% - Accent6 3" xfId="410" xr:uid="{00000000-0005-0000-0000-00006C010000}"/>
    <cellStyle name="60% - 강조색1" xfId="411" xr:uid="{00000000-0005-0000-0000-00006D010000}"/>
    <cellStyle name="60% - 강조색2" xfId="412" xr:uid="{00000000-0005-0000-0000-00006E010000}"/>
    <cellStyle name="60% - 강조색3" xfId="413" xr:uid="{00000000-0005-0000-0000-00006F010000}"/>
    <cellStyle name="60% - 강조색4" xfId="414" xr:uid="{00000000-0005-0000-0000-000070010000}"/>
    <cellStyle name="60% - 강조색5" xfId="415" xr:uid="{00000000-0005-0000-0000-000071010000}"/>
    <cellStyle name="60% - 강조색6" xfId="416" xr:uid="{00000000-0005-0000-0000-000072010000}"/>
    <cellStyle name="Accent1 2" xfId="19" xr:uid="{00000000-0005-0000-0000-000073010000}"/>
    <cellStyle name="Accent1 2 2" xfId="417" xr:uid="{00000000-0005-0000-0000-000074010000}"/>
    <cellStyle name="Accent1 2 2 2" xfId="418" xr:uid="{00000000-0005-0000-0000-000075010000}"/>
    <cellStyle name="Accent1 2 3" xfId="419" xr:uid="{00000000-0005-0000-0000-000076010000}"/>
    <cellStyle name="Accent1 3" xfId="420" xr:uid="{00000000-0005-0000-0000-000077010000}"/>
    <cellStyle name="Accent2 2" xfId="20" xr:uid="{00000000-0005-0000-0000-000078010000}"/>
    <cellStyle name="Accent2 2 2" xfId="421" xr:uid="{00000000-0005-0000-0000-000079010000}"/>
    <cellStyle name="Accent2 2 3" xfId="422" xr:uid="{00000000-0005-0000-0000-00007A010000}"/>
    <cellStyle name="Accent2 3" xfId="423" xr:uid="{00000000-0005-0000-0000-00007B010000}"/>
    <cellStyle name="Accent3 2" xfId="21" xr:uid="{00000000-0005-0000-0000-00007C010000}"/>
    <cellStyle name="Accent3 2 2" xfId="424" xr:uid="{00000000-0005-0000-0000-00007D010000}"/>
    <cellStyle name="Accent3 2 3" xfId="425" xr:uid="{00000000-0005-0000-0000-00007E010000}"/>
    <cellStyle name="Accent3 3" xfId="426" xr:uid="{00000000-0005-0000-0000-00007F010000}"/>
    <cellStyle name="Accent4 2" xfId="22" xr:uid="{00000000-0005-0000-0000-000080010000}"/>
    <cellStyle name="Accent4 2 2" xfId="427" xr:uid="{00000000-0005-0000-0000-000081010000}"/>
    <cellStyle name="Accent4 2 2 2" xfId="428" xr:uid="{00000000-0005-0000-0000-000082010000}"/>
    <cellStyle name="Accent4 2 3" xfId="429" xr:uid="{00000000-0005-0000-0000-000083010000}"/>
    <cellStyle name="Accent4 3" xfId="430" xr:uid="{00000000-0005-0000-0000-000084010000}"/>
    <cellStyle name="Accent5 2" xfId="23" xr:uid="{00000000-0005-0000-0000-000085010000}"/>
    <cellStyle name="Accent5 2 2" xfId="431" xr:uid="{00000000-0005-0000-0000-000086010000}"/>
    <cellStyle name="Accent5 2 3" xfId="432" xr:uid="{00000000-0005-0000-0000-000087010000}"/>
    <cellStyle name="Accent5 3" xfId="433" xr:uid="{00000000-0005-0000-0000-000088010000}"/>
    <cellStyle name="Accent6 2" xfId="24" xr:uid="{00000000-0005-0000-0000-000089010000}"/>
    <cellStyle name="Accent6 2 2" xfId="434" xr:uid="{00000000-0005-0000-0000-00008A010000}"/>
    <cellStyle name="Accent6 2 3" xfId="435" xr:uid="{00000000-0005-0000-0000-00008B010000}"/>
    <cellStyle name="Accent6 3" xfId="436" xr:uid="{00000000-0005-0000-0000-00008C010000}"/>
    <cellStyle name="alay" xfId="437" xr:uid="{00000000-0005-0000-0000-00008D010000}"/>
    <cellStyle name="alay 2" xfId="438" xr:uid="{00000000-0005-0000-0000-00008E010000}"/>
    <cellStyle name="Bad" xfId="779" builtinId="27"/>
    <cellStyle name="Bad 2" xfId="25" xr:uid="{00000000-0005-0000-0000-000090010000}"/>
    <cellStyle name="Bad 2 2" xfId="439" xr:uid="{00000000-0005-0000-0000-000091010000}"/>
    <cellStyle name="Bad 2 3" xfId="440" xr:uid="{00000000-0005-0000-0000-000092010000}"/>
    <cellStyle name="Bad 3" xfId="441" xr:uid="{00000000-0005-0000-0000-000093010000}"/>
    <cellStyle name="Calculation 2" xfId="26" xr:uid="{00000000-0005-0000-0000-000094010000}"/>
    <cellStyle name="Calculation 2 10" xfId="1716" xr:uid="{0831A450-7618-474E-9BC9-483F897DC9E5}"/>
    <cellStyle name="Calculation 2 11" xfId="1860" xr:uid="{7C091239-00F3-4C1D-B705-7199F918BE4A}"/>
    <cellStyle name="Calculation 2 12" xfId="2071" xr:uid="{83BE9094-E2CD-4A4E-BF74-A85706177384}"/>
    <cellStyle name="Calculation 2 13" xfId="2018" xr:uid="{F073C943-263C-4FAB-BFF2-BFA503A01830}"/>
    <cellStyle name="Calculation 2 14" xfId="1870" xr:uid="{805BD55D-710E-4C90-BA5D-2A622FE66083}"/>
    <cellStyle name="Calculation 2 15" xfId="2007" xr:uid="{4D21D1D4-D4F3-4EC6-96A1-6AFE62D179C6}"/>
    <cellStyle name="Calculation 2 2" xfId="442" xr:uid="{00000000-0005-0000-0000-000095010000}"/>
    <cellStyle name="Calculation 2 2 10" xfId="1994" xr:uid="{5304AB28-40C7-437C-A314-45ECB2434928}"/>
    <cellStyle name="Calculation 2 2 11" xfId="1986" xr:uid="{97A5FAA0-BEA8-4F70-8646-70F46220B447}"/>
    <cellStyle name="Calculation 2 2 12" xfId="2072" xr:uid="{DD0840CB-5444-4608-8580-A1F45DC666A2}"/>
    <cellStyle name="Calculation 2 2 13" xfId="1991" xr:uid="{4BED12FC-02A0-4AAB-AC7D-E4DB626560AF}"/>
    <cellStyle name="Calculation 2 2 14" xfId="1990" xr:uid="{9E375DC4-1CE0-4EB2-8B27-C8C12832051D}"/>
    <cellStyle name="Calculation 2 2 2" xfId="443" xr:uid="{00000000-0005-0000-0000-000096010000}"/>
    <cellStyle name="Calculation 2 2 2 10" xfId="1985" xr:uid="{1949C79B-B444-4131-857C-F6A5ED0DA0C9}"/>
    <cellStyle name="Calculation 2 2 2 11" xfId="1988" xr:uid="{D16DDB02-73D5-4E63-9A83-76C41875708C}"/>
    <cellStyle name="Calculation 2 2 2 12" xfId="1992" xr:uid="{0BE346E0-D832-44E1-BB09-2B20EF3BC4AA}"/>
    <cellStyle name="Calculation 2 2 2 13" xfId="1859" xr:uid="{BB23EC3F-FBE1-4355-B52D-EA9EFEB867EC}"/>
    <cellStyle name="Calculation 2 2 2 2" xfId="672" xr:uid="{00000000-0005-0000-0000-000097010000}"/>
    <cellStyle name="Calculation 2 2 2 2 10" xfId="2254" xr:uid="{70E70C10-B942-4997-9CFC-5FF24CC2DBA0}"/>
    <cellStyle name="Calculation 2 2 2 2 11" xfId="2348" xr:uid="{F1388462-3DAE-4EA4-9B3E-A68CD69E2B69}"/>
    <cellStyle name="Calculation 2 2 2 2 2" xfId="701" xr:uid="{00000000-0005-0000-0000-000098010000}"/>
    <cellStyle name="Calculation 2 2 2 2 2 2" xfId="882" xr:uid="{3FA48C9B-D5AA-4F88-8657-8229D62EBF07}"/>
    <cellStyle name="Calculation 2 2 2 2 2 2 2" xfId="1209" xr:uid="{60184661-5285-4A6C-BCC2-D221D55E5C8C}"/>
    <cellStyle name="Calculation 2 2 2 2 2 2 3" xfId="1363" xr:uid="{9EEAE595-DD03-4591-87CF-D372DB5C245F}"/>
    <cellStyle name="Calculation 2 2 2 2 2 3" xfId="992" xr:uid="{BC55F37C-7B5D-4B47-AE56-AF84191F15D7}"/>
    <cellStyle name="Calculation 2 2 2 2 2 3 2" xfId="1454" xr:uid="{7249BD02-5234-4C05-AD42-469BF02C1FCF}"/>
    <cellStyle name="Calculation 2 2 2 2 2 4" xfId="1566" xr:uid="{9177D131-10F3-44BF-BC13-39A76E508EF5}"/>
    <cellStyle name="Calculation 2 2 2 2 2 5" xfId="1783" xr:uid="{FC520AF1-73F5-4BAA-95C7-7463E1742DE3}"/>
    <cellStyle name="Calculation 2 2 2 2 2 6" xfId="2035" xr:uid="{F23FD425-9B9E-4865-8F95-82248A73BB9D}"/>
    <cellStyle name="Calculation 2 2 2 2 2 7" xfId="2140" xr:uid="{E76ADDF2-B194-4327-9891-772FCB8E7DF5}"/>
    <cellStyle name="Calculation 2 2 2 2 2 8" xfId="2278" xr:uid="{16B8295E-B183-45EC-A908-0143322929DD}"/>
    <cellStyle name="Calculation 2 2 2 2 2 9" xfId="2372" xr:uid="{C60FC4F6-DB09-4C84-B1F4-294B88F9B56C}"/>
    <cellStyle name="Calculation 2 2 2 2 3" xfId="853" xr:uid="{4383CDFA-4DE6-4276-8C88-BB001F1909B6}"/>
    <cellStyle name="Calculation 2 2 2 2 3 2" xfId="1182" xr:uid="{0958EBA8-8DBE-4711-B2DE-022362C2CB74}"/>
    <cellStyle name="Calculation 2 2 2 2 3 3" xfId="1341" xr:uid="{D94CDB3D-5E76-4E26-B504-95FB79D02DE9}"/>
    <cellStyle name="Calculation 2 2 2 2 4" xfId="968" xr:uid="{878F0BE2-477E-4E34-AC0C-920AEDEA85FB}"/>
    <cellStyle name="Calculation 2 2 2 2 4 2" xfId="1432" xr:uid="{F5DD2C3B-B4C2-41FA-A4BF-FE13BDCDC189}"/>
    <cellStyle name="Calculation 2 2 2 2 5" xfId="1588" xr:uid="{D10EC9DB-1449-4339-B6F0-E5B7EAAEEAF1}"/>
    <cellStyle name="Calculation 2 2 2 2 6" xfId="1756" xr:uid="{25C70E0A-0347-48A8-9315-64102AB70586}"/>
    <cellStyle name="Calculation 2 2 2 2 7" xfId="2083" xr:uid="{08A3AEF4-EF9D-4BCD-8A13-B591988DBBC0}"/>
    <cellStyle name="Calculation 2 2 2 2 8" xfId="1891" xr:uid="{5A2ED28D-5130-41C4-AD37-4DBBA2C1C0CD}"/>
    <cellStyle name="Calculation 2 2 2 2 9" xfId="2057" xr:uid="{8DB16C5E-67FE-4EE6-AA4D-3D9C80979ADE}"/>
    <cellStyle name="Calculation 2 2 2 3" xfId="732" xr:uid="{00000000-0005-0000-0000-000099010000}"/>
    <cellStyle name="Calculation 2 2 2 3 2" xfId="913" xr:uid="{34515A9E-6BDD-47C8-8750-6FDA10BEEDE0}"/>
    <cellStyle name="Calculation 2 2 2 3 2 2" xfId="1239" xr:uid="{9252DECB-E38C-435B-9823-662AB669D829}"/>
    <cellStyle name="Calculation 2 2 2 3 2 3" xfId="1392" xr:uid="{1B60B88A-AB87-4957-98D1-C1757EBCD33A}"/>
    <cellStyle name="Calculation 2 2 2 3 3" xfId="1022" xr:uid="{7742F94D-5ABF-45EF-867D-94DEC7A0B32F}"/>
    <cellStyle name="Calculation 2 2 2 3 3 2" xfId="1483" xr:uid="{E8608FC9-32A1-453B-B869-6FC086D763E1}"/>
    <cellStyle name="Calculation 2 2 2 3 4" xfId="1683" xr:uid="{D1C48C7B-8DFA-4C8E-97FB-71D27F7EE3B0}"/>
    <cellStyle name="Calculation 2 2 2 3 5" xfId="1813" xr:uid="{1240A124-BD30-4DE5-8C12-1B52F80ABDAA}"/>
    <cellStyle name="Calculation 2 2 2 3 6" xfId="2174" xr:uid="{149EB271-665F-4242-84E1-63A7E19B447F}"/>
    <cellStyle name="Calculation 2 2 2 3 7" xfId="2212" xr:uid="{F871C4EF-5184-4A48-A170-BDCEE80E953C}"/>
    <cellStyle name="Calculation 2 2 2 3 8" xfId="2308" xr:uid="{E40BE3E7-82A7-4242-84F9-631056445440}"/>
    <cellStyle name="Calculation 2 2 2 3 9" xfId="2402" xr:uid="{EB62D80C-EC55-4C49-9FCF-F8F25612F300}"/>
    <cellStyle name="Calculation 2 2 2 4" xfId="811" xr:uid="{645D6560-0B4D-45E0-9202-997BD5119D17}"/>
    <cellStyle name="Calculation 2 2 2 4 2" xfId="1143" xr:uid="{B2941A18-5B2E-4F80-AFE1-55E0F8A004BF}"/>
    <cellStyle name="Calculation 2 2 2 4 3" xfId="1061" xr:uid="{B6ADA0E4-96D1-407E-BBAB-42908259DFF5}"/>
    <cellStyle name="Calculation 2 2 2 5" xfId="808" xr:uid="{0B5D4E24-6FB1-4C05-8BF3-18289226E1CF}"/>
    <cellStyle name="Calculation 2 2 2 5 2" xfId="1140" xr:uid="{6CB1D71E-43B4-44DD-80C4-E55EF2174FE4}"/>
    <cellStyle name="Calculation 2 2 2 5 3" xfId="1064" xr:uid="{A288890B-E429-4743-8F70-111C0D86B8C9}"/>
    <cellStyle name="Calculation 2 2 2 6" xfId="1619" xr:uid="{C5E959A1-4DA4-4752-8983-D4BF254A6808}"/>
    <cellStyle name="Calculation 2 2 2 7" xfId="1616" xr:uid="{75DE9AB5-D86A-4934-9EC3-312CEA83B2FD}"/>
    <cellStyle name="Calculation 2 2 2 8" xfId="1723" xr:uid="{232D6CF3-9C9C-4D47-8A59-2CBEDF95E9F7}"/>
    <cellStyle name="Calculation 2 2 2 9" xfId="1995" xr:uid="{A4902F05-4FD2-4734-BDCD-90EB463CF7C0}"/>
    <cellStyle name="Calculation 2 2 3" xfId="671" xr:uid="{00000000-0005-0000-0000-00009A010000}"/>
    <cellStyle name="Calculation 2 2 3 10" xfId="2253" xr:uid="{6C250FC2-E438-42A3-9134-98355EF4FD52}"/>
    <cellStyle name="Calculation 2 2 3 11" xfId="2347" xr:uid="{BF9FEF77-F8AC-4BA7-8A4A-43941852DD68}"/>
    <cellStyle name="Calculation 2 2 3 2" xfId="702" xr:uid="{00000000-0005-0000-0000-00009B010000}"/>
    <cellStyle name="Calculation 2 2 3 2 2" xfId="883" xr:uid="{B85663DD-DBED-43DC-A322-F3D4025F90E3}"/>
    <cellStyle name="Calculation 2 2 3 2 2 2" xfId="1210" xr:uid="{AEBB8F99-9ADB-4972-BCE9-A8220F99E276}"/>
    <cellStyle name="Calculation 2 2 3 2 2 3" xfId="1364" xr:uid="{7DAA15BD-712A-45D4-AF71-C0F2AD707C4A}"/>
    <cellStyle name="Calculation 2 2 3 2 3" xfId="993" xr:uid="{92CB6ADA-ADA3-46C6-81F9-55EDDCCE062F}"/>
    <cellStyle name="Calculation 2 2 3 2 3 2" xfId="1455" xr:uid="{0FB0469A-D5DA-4D5D-BD21-8AFB317DC439}"/>
    <cellStyle name="Calculation 2 2 3 2 4" xfId="1565" xr:uid="{0B0DDBEC-F91B-40D8-920D-5FA66C8AC6C2}"/>
    <cellStyle name="Calculation 2 2 3 2 5" xfId="1784" xr:uid="{5118C8EA-1678-4747-8B7D-BFE737DDD377}"/>
    <cellStyle name="Calculation 2 2 3 2 6" xfId="2036" xr:uid="{6F056C0F-C127-4D41-9188-E7BEC87EA364}"/>
    <cellStyle name="Calculation 2 2 3 2 7" xfId="2053" xr:uid="{6EDB54EE-ADC4-40A1-B272-43600E9A7AF1}"/>
    <cellStyle name="Calculation 2 2 3 2 8" xfId="2279" xr:uid="{2713A308-D5A0-4B9A-BEBB-0E77B3DA2CC3}"/>
    <cellStyle name="Calculation 2 2 3 2 9" xfId="2373" xr:uid="{3A7A7692-B0D8-4BB1-95A1-21D8AB5207A7}"/>
    <cellStyle name="Calculation 2 2 3 3" xfId="852" xr:uid="{9EBC72F5-C5D6-4D4F-9251-4D3430E4C2ED}"/>
    <cellStyle name="Calculation 2 2 3 3 2" xfId="1181" xr:uid="{318F9CC2-7142-419C-AE6E-45CF9345C8CB}"/>
    <cellStyle name="Calculation 2 2 3 3 3" xfId="1340" xr:uid="{A5E193BB-C241-424A-BC50-8C3270720A4F}"/>
    <cellStyle name="Calculation 2 2 3 4" xfId="967" xr:uid="{83E38F50-54A6-4C68-B6AF-7DC1DB74F713}"/>
    <cellStyle name="Calculation 2 2 3 4 2" xfId="1431" xr:uid="{FA496033-5529-4950-BA30-F776192E368C}"/>
    <cellStyle name="Calculation 2 2 3 5" xfId="1589" xr:uid="{E9CB45EE-2022-4C97-86BD-6C017A26EFA4}"/>
    <cellStyle name="Calculation 2 2 3 6" xfId="1755" xr:uid="{41437650-3236-488A-9189-6256AC0FF8A8}"/>
    <cellStyle name="Calculation 2 2 3 7" xfId="2082" xr:uid="{904E77B8-3CDC-475C-99EC-1CAA0AE86114}"/>
    <cellStyle name="Calculation 2 2 3 8" xfId="1892" xr:uid="{2D325EB1-394B-43BF-9265-DB9C59EDB6F8}"/>
    <cellStyle name="Calculation 2 2 3 9" xfId="2058" xr:uid="{D5F2E22C-FC3C-459D-9A38-3B1D9881ED96}"/>
    <cellStyle name="Calculation 2 2 4" xfId="733" xr:uid="{00000000-0005-0000-0000-00009C010000}"/>
    <cellStyle name="Calculation 2 2 4 2" xfId="914" xr:uid="{E9C895F9-83EF-4CB9-960A-5F13CDC7B827}"/>
    <cellStyle name="Calculation 2 2 4 2 2" xfId="1240" xr:uid="{DB4506A0-0987-400A-BF75-E06CF8CE963A}"/>
    <cellStyle name="Calculation 2 2 4 2 3" xfId="1393" xr:uid="{BA2BB6C3-0435-4D1C-8266-A4AD2A855784}"/>
    <cellStyle name="Calculation 2 2 4 3" xfId="1023" xr:uid="{88D4FC46-A90C-436D-83C9-D4508D31EBBC}"/>
    <cellStyle name="Calculation 2 2 4 3 2" xfId="1484" xr:uid="{91FCD63E-B747-4579-A0AF-4455B82DBB85}"/>
    <cellStyle name="Calculation 2 2 4 4" xfId="1684" xr:uid="{B075C08F-0901-43C4-9CD2-6B7FD17CD455}"/>
    <cellStyle name="Calculation 2 2 4 5" xfId="1814" xr:uid="{0B7A8A68-4A09-45B5-AA7C-A6DEA19DFCD9}"/>
    <cellStyle name="Calculation 2 2 4 6" xfId="2175" xr:uid="{7E29058A-8B68-468A-86C4-6D834F1984FF}"/>
    <cellStyle name="Calculation 2 2 4 7" xfId="2213" xr:uid="{E14AA8A4-16D2-4942-8697-3810C47CB319}"/>
    <cellStyle name="Calculation 2 2 4 8" xfId="2309" xr:uid="{3AB436AD-56AB-4A78-A529-D2D8B918B567}"/>
    <cellStyle name="Calculation 2 2 4 9" xfId="2403" xr:uid="{052DC842-8CB5-4559-B635-8441E09B5001}"/>
    <cellStyle name="Calculation 2 2 5" xfId="810" xr:uid="{D4B87803-BFC5-4566-93A1-B46C9EEC0DB0}"/>
    <cellStyle name="Calculation 2 2 5 2" xfId="1142" xr:uid="{9024E03A-EED6-4F05-BBE1-4AA0B8C47687}"/>
    <cellStyle name="Calculation 2 2 5 3" xfId="1062" xr:uid="{CFB7F7CA-1ABB-4412-892A-9E3F2C719F51}"/>
    <cellStyle name="Calculation 2 2 6" xfId="809" xr:uid="{FD8A518A-4211-4312-987F-15924DC54D6D}"/>
    <cellStyle name="Calculation 2 2 6 2" xfId="1141" xr:uid="{2B0C2FE8-359C-40E3-9421-7FB892C1E837}"/>
    <cellStyle name="Calculation 2 2 6 3" xfId="1063" xr:uid="{89A90E75-3F8F-4A18-929C-A4667948D27E}"/>
    <cellStyle name="Calculation 2 2 7" xfId="1618" xr:uid="{0C49D9CD-6E7A-4D41-840A-3236AE22D1ED}"/>
    <cellStyle name="Calculation 2 2 8" xfId="1617" xr:uid="{2B0FC537-2493-4995-BB1B-16C2D6FBA625}"/>
    <cellStyle name="Calculation 2 2 9" xfId="1722" xr:uid="{BFA07E86-E567-4DF0-8E93-670FBB40F31B}"/>
    <cellStyle name="Calculation 2 3" xfId="444" xr:uid="{00000000-0005-0000-0000-00009D010000}"/>
    <cellStyle name="Calculation 2 3 10" xfId="1984" xr:uid="{3169221C-DB7E-4F30-8524-47C32BFBFE2A}"/>
    <cellStyle name="Calculation 2 3 11" xfId="1987" xr:uid="{B1EDDDC8-441A-4300-87A0-306C9E26DB45}"/>
    <cellStyle name="Calculation 2 3 12" xfId="2205" xr:uid="{1ADC7A48-C6AA-47B8-A1A2-A507E4198F06}"/>
    <cellStyle name="Calculation 2 3 13" xfId="2020" xr:uid="{E7D3571A-A164-436D-B82B-28761A78B042}"/>
    <cellStyle name="Calculation 2 3 2" xfId="673" xr:uid="{00000000-0005-0000-0000-00009E010000}"/>
    <cellStyle name="Calculation 2 3 2 10" xfId="2255" xr:uid="{BAC053E1-BDB5-4CD7-9D3F-1C4749395A81}"/>
    <cellStyle name="Calculation 2 3 2 11" xfId="2349" xr:uid="{D41C57C6-BD88-4BA3-9E62-D39105F4E7F3}"/>
    <cellStyle name="Calculation 2 3 2 2" xfId="700" xr:uid="{00000000-0005-0000-0000-00009F010000}"/>
    <cellStyle name="Calculation 2 3 2 2 2" xfId="881" xr:uid="{5BCBE654-736A-4A2B-8D38-6D5695D1C843}"/>
    <cellStyle name="Calculation 2 3 2 2 2 2" xfId="1208" xr:uid="{66A46FA3-3058-4F18-875B-87EB116F779F}"/>
    <cellStyle name="Calculation 2 3 2 2 2 3" xfId="1362" xr:uid="{D1FDC23B-3BEF-45ED-814F-3ACA084B998C}"/>
    <cellStyle name="Calculation 2 3 2 2 3" xfId="991" xr:uid="{26DAE0D7-C6DA-44F3-8E47-967E55018F1F}"/>
    <cellStyle name="Calculation 2 3 2 2 3 2" xfId="1453" xr:uid="{0A89B11A-E1A6-4B53-8045-D639CA6E6AC1}"/>
    <cellStyle name="Calculation 2 3 2 2 4" xfId="1567" xr:uid="{4E1D7157-CC81-45C8-9A9B-0FA29F33C691}"/>
    <cellStyle name="Calculation 2 3 2 2 5" xfId="1782" xr:uid="{97C00FDB-5799-4B7B-B492-31E4681448BC}"/>
    <cellStyle name="Calculation 2 3 2 2 6" xfId="2034" xr:uid="{17175771-0436-4870-A5BA-BE9419D1B251}"/>
    <cellStyle name="Calculation 2 3 2 2 7" xfId="2147" xr:uid="{2ABED472-59BD-4C90-9BB6-A96365580002}"/>
    <cellStyle name="Calculation 2 3 2 2 8" xfId="2277" xr:uid="{06B47DCB-332E-4E08-8C5C-B08554D39633}"/>
    <cellStyle name="Calculation 2 3 2 2 9" xfId="2371" xr:uid="{515501E7-8CDE-4599-9230-997E9219399E}"/>
    <cellStyle name="Calculation 2 3 2 3" xfId="854" xr:uid="{19D479CC-E32E-42D0-9C5A-E8F664EE95D0}"/>
    <cellStyle name="Calculation 2 3 2 3 2" xfId="1183" xr:uid="{F976E194-9BCE-4546-A2A4-DCC653CEB5D6}"/>
    <cellStyle name="Calculation 2 3 2 3 3" xfId="1342" xr:uid="{76239BF6-BA13-4F81-88FD-BD70A2627DEE}"/>
    <cellStyle name="Calculation 2 3 2 4" xfId="969" xr:uid="{8E81B6CA-83F7-4B48-AB5B-7D81CDB05F8D}"/>
    <cellStyle name="Calculation 2 3 2 4 2" xfId="1433" xr:uid="{971B54AC-F1CC-469D-9CB6-478417AB814D}"/>
    <cellStyle name="Calculation 2 3 2 5" xfId="1587" xr:uid="{BC767C6A-0069-4FC6-A95F-59D9E5873275}"/>
    <cellStyle name="Calculation 2 3 2 6" xfId="1757" xr:uid="{96C61C34-7804-4A82-87EE-C0C47333F382}"/>
    <cellStyle name="Calculation 2 3 2 7" xfId="2084" xr:uid="{C77E4268-C210-4CB7-A64A-02E83E4522E0}"/>
    <cellStyle name="Calculation 2 3 2 8" xfId="1890" xr:uid="{24A6CEF2-8D5B-4BD5-8653-01BDD4965CE6}"/>
    <cellStyle name="Calculation 2 3 2 9" xfId="1944" xr:uid="{C3C11AF7-33CE-47EB-AF61-9B1095039A73}"/>
    <cellStyle name="Calculation 2 3 3" xfId="731" xr:uid="{00000000-0005-0000-0000-0000A0010000}"/>
    <cellStyle name="Calculation 2 3 3 2" xfId="912" xr:uid="{9B60EE9D-E712-40EB-891C-2D89EA5B7709}"/>
    <cellStyle name="Calculation 2 3 3 2 2" xfId="1238" xr:uid="{44879198-0322-4B57-A78B-F92F279640F0}"/>
    <cellStyle name="Calculation 2 3 3 2 3" xfId="1391" xr:uid="{039AF19E-7151-4100-B677-0868BF1FFEBB}"/>
    <cellStyle name="Calculation 2 3 3 3" xfId="1021" xr:uid="{5F5CF2FE-64D6-4257-883C-11187E9F8DAF}"/>
    <cellStyle name="Calculation 2 3 3 3 2" xfId="1482" xr:uid="{F46DA233-B6E8-4291-BD0E-CF9976855FE5}"/>
    <cellStyle name="Calculation 2 3 3 4" xfId="1682" xr:uid="{990D67B3-B554-475F-9794-28B5A317D460}"/>
    <cellStyle name="Calculation 2 3 3 5" xfId="1812" xr:uid="{3FEA116E-A51A-412E-A739-424B781375A4}"/>
    <cellStyle name="Calculation 2 3 3 6" xfId="2173" xr:uid="{52281F26-649A-4394-BE71-8EB91A56FA65}"/>
    <cellStyle name="Calculation 2 3 3 7" xfId="2211" xr:uid="{445FF3EF-2FC6-4FB5-9DB3-DC37E3DCAC87}"/>
    <cellStyle name="Calculation 2 3 3 8" xfId="2307" xr:uid="{1C2384C3-810D-4E91-BF1E-7167215165A2}"/>
    <cellStyle name="Calculation 2 3 3 9" xfId="2401" xr:uid="{A6A68C12-15E4-4590-A75E-E1E6C16A3347}"/>
    <cellStyle name="Calculation 2 3 4" xfId="812" xr:uid="{0B91D339-53D7-4CE1-8B10-16D48573518A}"/>
    <cellStyle name="Calculation 2 3 4 2" xfId="1144" xr:uid="{FD4E8432-24F2-4E14-9114-0B46953009B1}"/>
    <cellStyle name="Calculation 2 3 4 3" xfId="1060" xr:uid="{7E7B6CD1-7CDD-4A75-9AEC-7F4E0ADECDFE}"/>
    <cellStyle name="Calculation 2 3 5" xfId="807" xr:uid="{D9310D62-D734-46D4-B317-3E1A645BADDB}"/>
    <cellStyle name="Calculation 2 3 5 2" xfId="1139" xr:uid="{7A782ACA-8BA6-4ED3-97F8-1ED4F389D1C1}"/>
    <cellStyle name="Calculation 2 3 5 3" xfId="1065" xr:uid="{6BE5C5BD-A90F-43F0-A19B-EF886E535BD6}"/>
    <cellStyle name="Calculation 2 3 6" xfId="1620" xr:uid="{7F94ED30-DE55-43ED-A338-7A29B7928920}"/>
    <cellStyle name="Calculation 2 3 7" xfId="1539" xr:uid="{3A065783-8F43-4262-A93F-4963CA21B61E}"/>
    <cellStyle name="Calculation 2 3 8" xfId="1724" xr:uid="{EFDE2AB9-5B5A-444F-8F18-E646231DCBF3}"/>
    <cellStyle name="Calculation 2 3 9" xfId="1996" xr:uid="{3719502C-D5A2-45E7-83F8-C0FC4B5333D0}"/>
    <cellStyle name="Calculation 2 4" xfId="665" xr:uid="{00000000-0005-0000-0000-0000A1010000}"/>
    <cellStyle name="Calculation 2 4 10" xfId="2123" xr:uid="{70BA664A-7712-4B9F-98A1-08EFF7A76E46}"/>
    <cellStyle name="Calculation 2 4 11" xfId="2342" xr:uid="{13FEDE9C-6059-42C0-BF21-D626173CFB63}"/>
    <cellStyle name="Calculation 2 4 2" xfId="707" xr:uid="{00000000-0005-0000-0000-0000A2010000}"/>
    <cellStyle name="Calculation 2 4 2 2" xfId="888" xr:uid="{DBB48A5E-4E3E-4FE9-892C-A3FDE1083AAD}"/>
    <cellStyle name="Calculation 2 4 2 2 2" xfId="1215" xr:uid="{43411DD3-9E85-4E01-922A-29A17478B022}"/>
    <cellStyle name="Calculation 2 4 2 2 3" xfId="1369" xr:uid="{68C05C4A-155E-4244-ADA2-9323887F8279}"/>
    <cellStyle name="Calculation 2 4 2 3" xfId="998" xr:uid="{742B7B93-7403-47D4-9111-A66534E236B6}"/>
    <cellStyle name="Calculation 2 4 2 3 2" xfId="1460" xr:uid="{32375498-CAF9-483B-9DA7-FC82EFDBF78C}"/>
    <cellStyle name="Calculation 2 4 2 4" xfId="1560" xr:uid="{20048C91-9388-4F0F-BDA9-9F22E4E32A11}"/>
    <cellStyle name="Calculation 2 4 2 5" xfId="1789" xr:uid="{43D32372-6541-4E2A-8879-7341FD0F606F}"/>
    <cellStyle name="Calculation 2 4 2 6" xfId="2041" xr:uid="{20570369-D551-4B57-BAA9-E061FD92EA6C}"/>
    <cellStyle name="Calculation 2 4 2 7" xfId="1922" xr:uid="{B393CBF3-E3CC-44D2-B464-89FA669A4BAF}"/>
    <cellStyle name="Calculation 2 4 2 8" xfId="2284" xr:uid="{B4D2C124-5069-4E11-BEAD-05F293AA5ECB}"/>
    <cellStyle name="Calculation 2 4 2 9" xfId="2378" xr:uid="{7D591884-368B-4784-87AA-5DF3997B0049}"/>
    <cellStyle name="Calculation 2 4 3" xfId="846" xr:uid="{280E4F00-88F4-4ABB-A841-896AC0F65FC7}"/>
    <cellStyle name="Calculation 2 4 3 2" xfId="1175" xr:uid="{4A5BD468-F73B-4187-A5E5-A2B9A7FD0DBF}"/>
    <cellStyle name="Calculation 2 4 3 3" xfId="1335" xr:uid="{9E4F13AF-737D-4891-AE9B-072E0D2968D3}"/>
    <cellStyle name="Calculation 2 4 4" xfId="962" xr:uid="{3C5FB874-CCD2-4A1A-B9E7-47A493E5AC16}"/>
    <cellStyle name="Calculation 2 4 4 2" xfId="1426" xr:uid="{C8D0DCE5-7B9B-4EEC-AA75-495347BAF636}"/>
    <cellStyle name="Calculation 2 4 5" xfId="1594" xr:uid="{C28A62C6-42B8-4A80-8BC2-750FEBF8E048}"/>
    <cellStyle name="Calculation 2 4 6" xfId="1749" xr:uid="{519AA67D-7E67-4B70-B4D1-26A8802A3CC3}"/>
    <cellStyle name="Calculation 2 4 7" xfId="2076" xr:uid="{A038425D-C573-402D-9397-E686A0C8DADB}"/>
    <cellStyle name="Calculation 2 4 8" xfId="1897" xr:uid="{C3D02361-BA99-4E90-B5B0-9B6A29AEC983}"/>
    <cellStyle name="Calculation 2 4 9" xfId="2149" xr:uid="{5047F091-CEAD-473F-8F8D-DFC23BD605F3}"/>
    <cellStyle name="Calculation 2 5" xfId="745" xr:uid="{00000000-0005-0000-0000-0000A3010000}"/>
    <cellStyle name="Calculation 2 5 2" xfId="926" xr:uid="{ADC5DA34-750E-484C-8690-9FE1F320E6DE}"/>
    <cellStyle name="Calculation 2 5 2 2" xfId="1251" xr:uid="{5CA95ACA-75B9-4B57-BA52-FC9F9CD0C0E2}"/>
    <cellStyle name="Calculation 2 5 2 3" xfId="1402" xr:uid="{6DFA0A6B-0D42-4F1E-B46E-82053F9B6F7A}"/>
    <cellStyle name="Calculation 2 5 3" xfId="1032" xr:uid="{AC466D91-3784-4113-91AA-B5E0E8CFF333}"/>
    <cellStyle name="Calculation 2 5 3 2" xfId="1493" xr:uid="{FECBD35A-27FF-4368-A597-2AE498B18FB4}"/>
    <cellStyle name="Calculation 2 5 4" xfId="1693" xr:uid="{C499B2A6-AA33-4ED9-9DEA-40AFD7871B94}"/>
    <cellStyle name="Calculation 2 5 5" xfId="1825" xr:uid="{9D7082D4-BD44-482E-BC4B-1C11F1CF75C4}"/>
    <cellStyle name="Calculation 2 5 6" xfId="2185" xr:uid="{787BF962-EA61-4ACB-8CEB-8AB47FBC3682}"/>
    <cellStyle name="Calculation 2 5 7" xfId="2222" xr:uid="{1A48ECEB-3778-4EC8-AFB3-C08AEEF06247}"/>
    <cellStyle name="Calculation 2 5 8" xfId="2318" xr:uid="{54F59607-E03A-41EC-A5A2-CB8CE1E00436}"/>
    <cellStyle name="Calculation 2 5 9" xfId="2412" xr:uid="{32FFBE12-D30F-4634-BCA6-893C946F5547}"/>
    <cellStyle name="Calculation 2 6" xfId="782" xr:uid="{CF7EEB0C-C35D-46D9-A5E0-F595BE85AEE3}"/>
    <cellStyle name="Calculation 2 6 2" xfId="1115" xr:uid="{8D6B8FC2-43A1-4B9D-99E6-4F526DD0D416}"/>
    <cellStyle name="Calculation 2 6 3" xfId="1088" xr:uid="{647777C0-AFD9-4682-9161-60354C4779AE}"/>
    <cellStyle name="Calculation 2 7" xfId="842" xr:uid="{836742D1-2BBE-40E1-BA26-274D044FF2A0}"/>
    <cellStyle name="Calculation 2 7 2" xfId="1171" xr:uid="{D39963C1-B1B6-4F41-92D3-9D41F736171D}"/>
    <cellStyle name="Calculation 2 7 3" xfId="1331" xr:uid="{3D84D6C4-E0DE-435A-B506-6BC83B8D2436}"/>
    <cellStyle name="Calculation 2 8" xfId="1540" xr:uid="{2DF91718-F5C6-4818-A8B0-931003DF6F07}"/>
    <cellStyle name="Calculation 2 9" xfId="1638" xr:uid="{38A12769-504B-4A6C-93B9-0B743B418C97}"/>
    <cellStyle name="Calculation 3" xfId="445" xr:uid="{00000000-0005-0000-0000-0000A4010000}"/>
    <cellStyle name="Calculation 3 10" xfId="1983" xr:uid="{E1D34586-67DE-4D7B-A25D-ACFB9804E35F}"/>
    <cellStyle name="Calculation 3 11" xfId="1858" xr:uid="{53A22063-D9A6-4EA1-B625-248E20A38F6E}"/>
    <cellStyle name="Calculation 3 12" xfId="1993" xr:uid="{8709EDCF-7C4E-417F-A730-8E1BE7387DE0}"/>
    <cellStyle name="Calculation 3 13" xfId="1989" xr:uid="{A627F32D-75B0-48A0-9AC4-844BBDAA1550}"/>
    <cellStyle name="Calculation 3 2" xfId="674" xr:uid="{00000000-0005-0000-0000-0000A5010000}"/>
    <cellStyle name="Calculation 3 2 10" xfId="2256" xr:uid="{07931DC7-FA53-4E16-B7B1-758B6B7C4B0B}"/>
    <cellStyle name="Calculation 3 2 11" xfId="2350" xr:uid="{29389E48-A984-4490-A3C8-211423FFCC03}"/>
    <cellStyle name="Calculation 3 2 2" xfId="699" xr:uid="{00000000-0005-0000-0000-0000A6010000}"/>
    <cellStyle name="Calculation 3 2 2 2" xfId="880" xr:uid="{41B6FBFF-DC3C-45E5-9029-66F062CC9B0B}"/>
    <cellStyle name="Calculation 3 2 2 2 2" xfId="1207" xr:uid="{75D8F721-E488-4DE9-807E-4874B4FCADE3}"/>
    <cellStyle name="Calculation 3 2 2 2 3" xfId="1361" xr:uid="{33F7AD85-0E60-401D-9F98-1BCB6FBD353F}"/>
    <cellStyle name="Calculation 3 2 2 3" xfId="990" xr:uid="{CA5102C7-7924-464D-969A-353F16853CB6}"/>
    <cellStyle name="Calculation 3 2 2 3 2" xfId="1452" xr:uid="{7E5B54BA-5C3E-4CAA-91B6-9D1B194EE178}"/>
    <cellStyle name="Calculation 3 2 2 4" xfId="1568" xr:uid="{D98D8E4F-2B4D-4008-8FBB-1E754E88D9A3}"/>
    <cellStyle name="Calculation 3 2 2 5" xfId="1781" xr:uid="{C65B6C85-F3EC-4F7C-84BD-1B701B236244}"/>
    <cellStyle name="Calculation 3 2 2 6" xfId="2033" xr:uid="{32CA2547-21F0-4C4D-BC1D-CE3EB0FB0506}"/>
    <cellStyle name="Calculation 3 2 2 7" xfId="2148" xr:uid="{61F61E75-965D-457E-8CC8-8EFA8B4E9584}"/>
    <cellStyle name="Calculation 3 2 2 8" xfId="2276" xr:uid="{E9145A86-A8BD-4BB7-BEC1-062B94897025}"/>
    <cellStyle name="Calculation 3 2 2 9" xfId="2370" xr:uid="{21F4F9C3-A8A5-44A6-A76C-658A89AF42DC}"/>
    <cellStyle name="Calculation 3 2 3" xfId="855" xr:uid="{9DC0B102-584D-4A52-8883-07B4359C14BE}"/>
    <cellStyle name="Calculation 3 2 3 2" xfId="1184" xr:uid="{808FFEBF-5CD5-4E94-B7CA-3CFD3E7AA60B}"/>
    <cellStyle name="Calculation 3 2 3 3" xfId="1343" xr:uid="{C7301AAC-5D9E-40D6-AD95-7BB6397F414E}"/>
    <cellStyle name="Calculation 3 2 4" xfId="970" xr:uid="{90B00DE7-B13E-401C-8A2F-36EF9988B77D}"/>
    <cellStyle name="Calculation 3 2 4 2" xfId="1434" xr:uid="{F76F1B20-5883-4135-96B9-65B843398D84}"/>
    <cellStyle name="Calculation 3 2 5" xfId="1586" xr:uid="{FB58B674-9BED-4961-8338-33A38AA96C27}"/>
    <cellStyle name="Calculation 3 2 6" xfId="1758" xr:uid="{DA088BD6-9D75-4A98-93C5-2ED7CADD78F4}"/>
    <cellStyle name="Calculation 3 2 7" xfId="2085" xr:uid="{987A19A6-D0BC-4C4F-924D-9C1D6E6024F0}"/>
    <cellStyle name="Calculation 3 2 8" xfId="1889" xr:uid="{1AEC8084-8583-44EF-B7BD-A4C746ED9F78}"/>
    <cellStyle name="Calculation 3 2 9" xfId="2056" xr:uid="{AA7C565C-ED5F-4B08-B8A6-0AD206FD9CE5}"/>
    <cellStyle name="Calculation 3 3" xfId="730" xr:uid="{00000000-0005-0000-0000-0000A7010000}"/>
    <cellStyle name="Calculation 3 3 2" xfId="911" xr:uid="{A9B0269F-95FF-417E-9645-EF3F707701CB}"/>
    <cellStyle name="Calculation 3 3 2 2" xfId="1237" xr:uid="{A7E5EAA7-471C-43F5-BC3B-9FE28C09663A}"/>
    <cellStyle name="Calculation 3 3 2 3" xfId="1390" xr:uid="{FF27F473-52A8-40A6-9DAA-1F7A412E123C}"/>
    <cellStyle name="Calculation 3 3 3" xfId="1020" xr:uid="{0E8E8AF8-2478-47E5-8576-FEB95EC59232}"/>
    <cellStyle name="Calculation 3 3 3 2" xfId="1481" xr:uid="{4AE4E26B-E5D7-4FE2-8915-FBF2F1CFF4B4}"/>
    <cellStyle name="Calculation 3 3 4" xfId="1681" xr:uid="{C523FF2D-2EA0-490E-8049-61ED9BA84F94}"/>
    <cellStyle name="Calculation 3 3 5" xfId="1811" xr:uid="{6668C7C8-A950-44BF-8E9E-CD57CC39DE34}"/>
    <cellStyle name="Calculation 3 3 6" xfId="2172" xr:uid="{043E43BD-BF6B-4EBD-A0DE-A3DB43405EDB}"/>
    <cellStyle name="Calculation 3 3 7" xfId="2210" xr:uid="{B05666B7-2AB5-4A5D-A42F-D64285587281}"/>
    <cellStyle name="Calculation 3 3 8" xfId="2306" xr:uid="{9FDC38E8-40EA-4EF3-8AC8-7FCCBFA51CB6}"/>
    <cellStyle name="Calculation 3 3 9" xfId="2400" xr:uid="{88889484-86CD-431E-98CC-CF9C924B70E2}"/>
    <cellStyle name="Calculation 3 4" xfId="813" xr:uid="{CDDEB159-AD08-45BF-8B7B-5432B1417BEA}"/>
    <cellStyle name="Calculation 3 4 2" xfId="1145" xr:uid="{9D0E0DAF-CE95-4475-803D-C332FA597823}"/>
    <cellStyle name="Calculation 3 4 3" xfId="1059" xr:uid="{3E5C0B4F-6AE2-4B6F-9F6D-CF607CFD978E}"/>
    <cellStyle name="Calculation 3 5" xfId="806" xr:uid="{7D81C9E8-C0E3-4123-A894-BE8CBCBB1E69}"/>
    <cellStyle name="Calculation 3 5 2" xfId="1138" xr:uid="{6ED4DCE3-107B-40FB-A2A8-9EBE1A11B3A1}"/>
    <cellStyle name="Calculation 3 5 3" xfId="1066" xr:uid="{CC955F7F-D3EC-44D5-8817-2A1673546CC3}"/>
    <cellStyle name="Calculation 3 6" xfId="1621" xr:uid="{32D81BF1-BE99-4ED3-BF2D-8E5E11662529}"/>
    <cellStyle name="Calculation 3 7" xfId="1615" xr:uid="{556DAE59-A2DD-4FAB-ABF9-02DBF284CBD4}"/>
    <cellStyle name="Calculation 3 8" xfId="1725" xr:uid="{EA7B0ED2-CCFF-43AD-B855-9B82EEF5200A}"/>
    <cellStyle name="Calculation 3 9" xfId="1997" xr:uid="{7584BC25-30EB-433F-A462-C4966549B124}"/>
    <cellStyle name="category" xfId="446" xr:uid="{00000000-0005-0000-0000-0000A8010000}"/>
    <cellStyle name="Check Cell 2" xfId="27" xr:uid="{00000000-0005-0000-0000-0000A9010000}"/>
    <cellStyle name="Check Cell 2 2" xfId="447" xr:uid="{00000000-0005-0000-0000-0000AA010000}"/>
    <cellStyle name="Check Cell 2 3" xfId="448" xr:uid="{00000000-0005-0000-0000-0000AB010000}"/>
    <cellStyle name="Check Cell 3" xfId="449" xr:uid="{00000000-0005-0000-0000-0000AC010000}"/>
    <cellStyle name="Comma" xfId="28" builtinId="3"/>
    <cellStyle name="Comma [0]" xfId="29" builtinId="6"/>
    <cellStyle name="Comma [0] 2" xfId="450" xr:uid="{00000000-0005-0000-0000-0000AF010000}"/>
    <cellStyle name="Comma [0] 2 2" xfId="451" xr:uid="{00000000-0005-0000-0000-0000B0010000}"/>
    <cellStyle name="Comma [0] 2 3" xfId="452" xr:uid="{00000000-0005-0000-0000-0000B1010000}"/>
    <cellStyle name="Comma [0] 3" xfId="453" xr:uid="{00000000-0005-0000-0000-0000B2010000}"/>
    <cellStyle name="Comma [0] 3 2" xfId="454" xr:uid="{00000000-0005-0000-0000-0000B3010000}"/>
    <cellStyle name="Comma [0] 3 2 2" xfId="455" xr:uid="{00000000-0005-0000-0000-0000B4010000}"/>
    <cellStyle name="Comma [0] 3 3" xfId="456" xr:uid="{00000000-0005-0000-0000-0000B5010000}"/>
    <cellStyle name="Comma [0] 4" xfId="62" xr:uid="{00000000-0005-0000-0000-0000B6010000}"/>
    <cellStyle name="Comma [0] 4 2" xfId="457" xr:uid="{00000000-0005-0000-0000-0000B7010000}"/>
    <cellStyle name="Comma [0] 5" xfId="458" xr:uid="{00000000-0005-0000-0000-0000B8010000}"/>
    <cellStyle name="Comma [0] 5 2" xfId="459" xr:uid="{00000000-0005-0000-0000-0000B9010000}"/>
    <cellStyle name="Comma [0] 6" xfId="460" xr:uid="{00000000-0005-0000-0000-0000BA010000}"/>
    <cellStyle name="Comma 10" xfId="461" xr:uid="{00000000-0005-0000-0000-0000BB010000}"/>
    <cellStyle name="Comma 10 5" xfId="781" xr:uid="{00000000-0005-0000-0000-0000BC010000}"/>
    <cellStyle name="Comma 11" xfId="2135" xr:uid="{6CEE7187-56EE-457D-A16E-08E002FC8BE6}"/>
    <cellStyle name="Comma 12" xfId="2163" xr:uid="{2341C657-45B0-4B81-8A3C-1E850303CAD7}"/>
    <cellStyle name="Comma 13" xfId="2207" xr:uid="{9998ADC4-6158-4F46-8E4C-2FE3DC4AE56D}"/>
    <cellStyle name="Comma 14" xfId="2248" xr:uid="{9B30F7B4-236D-493C-85AC-71129A993C85}"/>
    <cellStyle name="Comma 15" xfId="2341" xr:uid="{3D0E8939-DA2E-4259-8132-C54CAC6A4516}"/>
    <cellStyle name="Comma 16" xfId="2435" xr:uid="{EA5A9487-FCC7-4862-8FAB-123CF607608B}"/>
    <cellStyle name="Comma 2" xfId="30" xr:uid="{00000000-0005-0000-0000-0000BD010000}"/>
    <cellStyle name="Comma 2 2" xfId="31" xr:uid="{00000000-0005-0000-0000-0000BE010000}"/>
    <cellStyle name="Comma 2 2 2" xfId="462" xr:uid="{00000000-0005-0000-0000-0000BF010000}"/>
    <cellStyle name="Comma 2 2 3" xfId="463" xr:uid="{00000000-0005-0000-0000-0000C0010000}"/>
    <cellStyle name="Comma 2 3" xfId="464" xr:uid="{00000000-0005-0000-0000-0000C1010000}"/>
    <cellStyle name="Comma 2 4" xfId="778" xr:uid="{00000000-0005-0000-0000-0000C2010000}"/>
    <cellStyle name="Comma 26 4 3" xfId="465" xr:uid="{00000000-0005-0000-0000-0000C3010000}"/>
    <cellStyle name="Comma 3" xfId="32" xr:uid="{00000000-0005-0000-0000-0000C4010000}"/>
    <cellStyle name="Comma 3 2" xfId="466" xr:uid="{00000000-0005-0000-0000-0000C5010000}"/>
    <cellStyle name="Comma 3 2 2" xfId="467" xr:uid="{00000000-0005-0000-0000-0000C6010000}"/>
    <cellStyle name="Comma 3 3" xfId="468" xr:uid="{00000000-0005-0000-0000-0000C7010000}"/>
    <cellStyle name="Comma 4" xfId="33" xr:uid="{00000000-0005-0000-0000-0000C8010000}"/>
    <cellStyle name="Comma 4 2" xfId="469" xr:uid="{00000000-0005-0000-0000-0000C9010000}"/>
    <cellStyle name="Comma 4 2 2" xfId="470" xr:uid="{00000000-0005-0000-0000-0000CA010000}"/>
    <cellStyle name="Comma 4 3" xfId="471" xr:uid="{00000000-0005-0000-0000-0000CB010000}"/>
    <cellStyle name="Comma 5" xfId="34" xr:uid="{00000000-0005-0000-0000-0000CC010000}"/>
    <cellStyle name="Comma 5 2" xfId="472" xr:uid="{00000000-0005-0000-0000-0000CD010000}"/>
    <cellStyle name="Comma 5 2 2" xfId="473" xr:uid="{00000000-0005-0000-0000-0000CE010000}"/>
    <cellStyle name="Comma 5 3" xfId="474" xr:uid="{00000000-0005-0000-0000-0000CF010000}"/>
    <cellStyle name="Comma 6" xfId="35" xr:uid="{00000000-0005-0000-0000-0000D0010000}"/>
    <cellStyle name="Comma 6 2" xfId="475" xr:uid="{00000000-0005-0000-0000-0000D1010000}"/>
    <cellStyle name="Comma 6 3" xfId="476" xr:uid="{00000000-0005-0000-0000-0000D2010000}"/>
    <cellStyle name="Comma 7" xfId="477" xr:uid="{00000000-0005-0000-0000-0000D3010000}"/>
    <cellStyle name="Comma 7 2" xfId="478" xr:uid="{00000000-0005-0000-0000-0000D4010000}"/>
    <cellStyle name="Comma 7 2 2" xfId="479" xr:uid="{00000000-0005-0000-0000-0000D5010000}"/>
    <cellStyle name="Comma 7 2 2 2" xfId="815" xr:uid="{EFCF40BE-2C0F-4E6D-8670-92FD37B62225}"/>
    <cellStyle name="Comma 7 2 3" xfId="814" xr:uid="{456C53BC-4D3F-4C0B-84F2-AC335D4A76C1}"/>
    <cellStyle name="Comma 7 3" xfId="480" xr:uid="{00000000-0005-0000-0000-0000D6010000}"/>
    <cellStyle name="Comma 7 3 2" xfId="816" xr:uid="{AF3268EA-039D-4C72-8869-89AAB911DF85}"/>
    <cellStyle name="Comma 8" xfId="481" xr:uid="{00000000-0005-0000-0000-0000D7010000}"/>
    <cellStyle name="Comma 9" xfId="664" xr:uid="{00000000-0005-0000-0000-0000D8010000}"/>
    <cellStyle name="comma zerodec" xfId="482" xr:uid="{00000000-0005-0000-0000-0000D9010000}"/>
    <cellStyle name="Currency [0]" xfId="36" builtinId="7"/>
    <cellStyle name="Currency [0] 2" xfId="483" xr:uid="{00000000-0005-0000-0000-0000DB010000}"/>
    <cellStyle name="Currency [0] 2 2" xfId="484" xr:uid="{00000000-0005-0000-0000-0000DC010000}"/>
    <cellStyle name="Currency [0] 2 3" xfId="485" xr:uid="{00000000-0005-0000-0000-0000DD010000}"/>
    <cellStyle name="Currency 2 2" xfId="486" xr:uid="{00000000-0005-0000-0000-0000DE010000}"/>
    <cellStyle name="Currency 3" xfId="487" xr:uid="{00000000-0005-0000-0000-0000DF010000}"/>
    <cellStyle name="Currency1" xfId="488" xr:uid="{00000000-0005-0000-0000-0000E0010000}"/>
    <cellStyle name="Currency1 2" xfId="489" xr:uid="{00000000-0005-0000-0000-0000E1010000}"/>
    <cellStyle name="Dollar (zero dec)" xfId="490" xr:uid="{00000000-0005-0000-0000-0000E2010000}"/>
    <cellStyle name="Dollar (zero dec) 2" xfId="491" xr:uid="{00000000-0005-0000-0000-0000E3010000}"/>
    <cellStyle name="Explanatory Text 2" xfId="37" xr:uid="{00000000-0005-0000-0000-0000E4010000}"/>
    <cellStyle name="Explanatory Text 2 2" xfId="492" xr:uid="{00000000-0005-0000-0000-0000E5010000}"/>
    <cellStyle name="Explanatory Text 2 3" xfId="493" xr:uid="{00000000-0005-0000-0000-0000E6010000}"/>
    <cellStyle name="Explanatory Text 3" xfId="494" xr:uid="{00000000-0005-0000-0000-0000E7010000}"/>
    <cellStyle name="Good 2" xfId="38" xr:uid="{00000000-0005-0000-0000-0000E8010000}"/>
    <cellStyle name="Good 2 2" xfId="495" xr:uid="{00000000-0005-0000-0000-0000E9010000}"/>
    <cellStyle name="Good 2 3" xfId="496" xr:uid="{00000000-0005-0000-0000-0000EA010000}"/>
    <cellStyle name="Good 3" xfId="497" xr:uid="{00000000-0005-0000-0000-0000EB010000}"/>
    <cellStyle name="Grey" xfId="498" xr:uid="{00000000-0005-0000-0000-0000EC010000}"/>
    <cellStyle name="HEADER" xfId="499" xr:uid="{00000000-0005-0000-0000-0000ED010000}"/>
    <cellStyle name="Header1" xfId="500" xr:uid="{00000000-0005-0000-0000-0000EE010000}"/>
    <cellStyle name="Header2" xfId="501" xr:uid="{00000000-0005-0000-0000-0000EF010000}"/>
    <cellStyle name="Header2 10" xfId="1868" xr:uid="{CC22B797-C495-4D69-8F8A-12349C9D1064}"/>
    <cellStyle name="Header2 11" xfId="1869" xr:uid="{A453C75E-3C4E-4B70-A9BF-F794C01665A6}"/>
    <cellStyle name="Header2 2" xfId="675" xr:uid="{00000000-0005-0000-0000-0000F0010000}"/>
    <cellStyle name="Header2 2 10" xfId="2351" xr:uid="{6F06A64D-EE0B-4DA6-BE33-87C20109836E}"/>
    <cellStyle name="Header2 2 2" xfId="698" xr:uid="{00000000-0005-0000-0000-0000F1010000}"/>
    <cellStyle name="Header2 2 2 2" xfId="879" xr:uid="{40AFCFAD-200D-48AA-B267-E1258C39D542}"/>
    <cellStyle name="Header2 2 2 2 2" xfId="1206" xr:uid="{5B2D4125-CD1E-409B-B1EC-2ED3C06ABD85}"/>
    <cellStyle name="Header2 2 2 3" xfId="989" xr:uid="{4B291F1A-7B93-4AB4-AE81-0C4E69E9461B}"/>
    <cellStyle name="Header2 2 2 4" xfId="1523" xr:uid="{71053325-8941-47D4-A11A-9DE8869223CD}"/>
    <cellStyle name="Header2 2 2 5" xfId="1780" xr:uid="{C90865BF-2888-4724-94B5-DBA19372D1D6}"/>
    <cellStyle name="Header2 2 2 6" xfId="2275" xr:uid="{F3D79F0D-D17C-4637-AB75-15A71529442F}"/>
    <cellStyle name="Header2 2 2 7" xfId="2369" xr:uid="{9AB4C1CC-45B8-4B4A-BC03-98708AF31D4C}"/>
    <cellStyle name="Header2 2 3" xfId="856" xr:uid="{E3A6F45D-69FD-40B7-8AEE-FC42EE83DAB8}"/>
    <cellStyle name="Header2 2 3 2" xfId="1185" xr:uid="{22B6E393-2861-4421-9971-6B8BC653D479}"/>
    <cellStyle name="Header2 2 4" xfId="971" xr:uid="{436E870A-EFDF-48CF-B485-6B736D9F3481}"/>
    <cellStyle name="Header2 2 5" xfId="1519" xr:uid="{AAEE6CCF-2C08-419C-BBB3-0C1B4B5C2688}"/>
    <cellStyle name="Header2 2 6" xfId="1759" xr:uid="{E67AD3DA-A8BB-4E98-BF15-6F7C56AA49D3}"/>
    <cellStyle name="Header2 2 7" xfId="2086" xr:uid="{277B6CA2-7683-4073-82AD-DCB7E3F3A8AF}"/>
    <cellStyle name="Header2 2 8" xfId="1888" xr:uid="{28962499-B75E-4022-833D-B92090208D6E}"/>
    <cellStyle name="Header2 2 9" xfId="2257" xr:uid="{7A1E69D8-43DB-44EC-A5D0-FE34F25DDA96}"/>
    <cellStyle name="Header2 3" xfId="729" xr:uid="{00000000-0005-0000-0000-0000F2010000}"/>
    <cellStyle name="Header2 3 2" xfId="910" xr:uid="{D22A5B55-C6C4-40F8-B1D5-0BCBD73922EE}"/>
    <cellStyle name="Header2 3 2 2" xfId="1236" xr:uid="{36A1E1F5-C347-4601-A431-4C5B7253911F}"/>
    <cellStyle name="Header2 3 3" xfId="1019" xr:uid="{63D5E16E-25E6-448D-ABB3-12E0C64AC2A5}"/>
    <cellStyle name="Header2 3 4" xfId="1524" xr:uid="{AE55078F-B0E1-4D75-AEF3-B3456BE67E26}"/>
    <cellStyle name="Header2 3 5" xfId="1810" xr:uid="{F9DC1140-0F6B-4CD9-8455-6D7092899E1F}"/>
    <cellStyle name="Header2 3 6" xfId="2305" xr:uid="{603F8A3E-EBDD-46A1-BC44-1D4179BE0718}"/>
    <cellStyle name="Header2 3 7" xfId="2399" xr:uid="{4E49C009-E34D-443F-8615-2B2A350914D6}"/>
    <cellStyle name="Header2 4" xfId="817" xr:uid="{0D69B656-9C03-4611-B8E0-8E3F56D7B403}"/>
    <cellStyle name="Header2 4 2" xfId="1146" xr:uid="{EDC1D389-0C13-4386-A09F-BDB421F5CE1A}"/>
    <cellStyle name="Header2 5" xfId="805" xr:uid="{62EB2840-48C1-4B8F-97E5-BDDE8B836B79}"/>
    <cellStyle name="Header2 6" xfId="1515" xr:uid="{B02F4F36-A6E4-4D79-8667-3A1DE9B62E8A}"/>
    <cellStyle name="Header2 7" xfId="1726" xr:uid="{C3680B55-B8DA-4E13-8420-5DE1A340F7EF}"/>
    <cellStyle name="Header2 8" xfId="2006" xr:uid="{09A580F5-B40E-4DDC-8130-66C150BA7450}"/>
    <cellStyle name="Header2 9" xfId="1969" xr:uid="{362CED31-828F-4314-B0F2-F66AB66A0DC1}"/>
    <cellStyle name="Heading 1 2" xfId="39" xr:uid="{00000000-0005-0000-0000-0000F3010000}"/>
    <cellStyle name="Heading 1 2 2" xfId="502" xr:uid="{00000000-0005-0000-0000-0000F4010000}"/>
    <cellStyle name="Heading 1 2 2 2" xfId="503" xr:uid="{00000000-0005-0000-0000-0000F5010000}"/>
    <cellStyle name="Heading 1 2 3" xfId="504" xr:uid="{00000000-0005-0000-0000-0000F6010000}"/>
    <cellStyle name="Heading 1 3" xfId="505" xr:uid="{00000000-0005-0000-0000-0000F7010000}"/>
    <cellStyle name="Heading 2 2" xfId="40" xr:uid="{00000000-0005-0000-0000-0000F8010000}"/>
    <cellStyle name="Heading 2 2 2" xfId="506" xr:uid="{00000000-0005-0000-0000-0000F9010000}"/>
    <cellStyle name="Heading 2 2 2 2" xfId="507" xr:uid="{00000000-0005-0000-0000-0000FA010000}"/>
    <cellStyle name="Heading 2 2 3" xfId="508" xr:uid="{00000000-0005-0000-0000-0000FB010000}"/>
    <cellStyle name="Heading 2 3" xfId="509" xr:uid="{00000000-0005-0000-0000-0000FC010000}"/>
    <cellStyle name="Heading 3 2" xfId="41" xr:uid="{00000000-0005-0000-0000-0000FD010000}"/>
    <cellStyle name="Heading 3 2 2" xfId="510" xr:uid="{00000000-0005-0000-0000-0000FE010000}"/>
    <cellStyle name="Heading 3 2 2 2" xfId="511" xr:uid="{00000000-0005-0000-0000-0000FF010000}"/>
    <cellStyle name="Heading 3 2 3" xfId="512" xr:uid="{00000000-0005-0000-0000-000000020000}"/>
    <cellStyle name="Heading 3 3" xfId="513" xr:uid="{00000000-0005-0000-0000-000001020000}"/>
    <cellStyle name="Heading 4 2" xfId="42" xr:uid="{00000000-0005-0000-0000-000002020000}"/>
    <cellStyle name="Heading 4 2 2" xfId="514" xr:uid="{00000000-0005-0000-0000-000003020000}"/>
    <cellStyle name="Heading 4 2 2 2" xfId="515" xr:uid="{00000000-0005-0000-0000-000004020000}"/>
    <cellStyle name="Heading 4 2 3" xfId="516" xr:uid="{00000000-0005-0000-0000-000005020000}"/>
    <cellStyle name="Heading 4 3" xfId="517" xr:uid="{00000000-0005-0000-0000-000006020000}"/>
    <cellStyle name="Hyperlink" xfId="43" builtinId="8"/>
    <cellStyle name="Hyperlink 2" xfId="44" xr:uid="{00000000-0005-0000-0000-000008020000}"/>
    <cellStyle name="Hyperlink 2 2" xfId="518" xr:uid="{00000000-0005-0000-0000-000009020000}"/>
    <cellStyle name="Hyperlink 3" xfId="519" xr:uid="{00000000-0005-0000-0000-00000A020000}"/>
    <cellStyle name="Input [yellow]" xfId="520" xr:uid="{00000000-0005-0000-0000-00000B020000}"/>
    <cellStyle name="Input [yellow] 2" xfId="676" xr:uid="{00000000-0005-0000-0000-00000C020000}"/>
    <cellStyle name="Input [yellow] 2 2" xfId="748" xr:uid="{00000000-0005-0000-0000-00000D020000}"/>
    <cellStyle name="Input [yellow] 2 2 2" xfId="929" xr:uid="{724A3CC0-F3B8-4729-B437-03C61F437A0B}"/>
    <cellStyle name="Input [yellow] 2 2 3" xfId="2116" xr:uid="{4600BE40-803E-453D-BDDB-73D1D2DD414E}"/>
    <cellStyle name="Input [yellow] 2 2 4" xfId="2151" xr:uid="{2D918180-162C-432B-B8A2-1C9999D53482}"/>
    <cellStyle name="Input [yellow] 2 3" xfId="697" xr:uid="{00000000-0005-0000-0000-00000E020000}"/>
    <cellStyle name="Input [yellow] 2 3 2" xfId="878" xr:uid="{C0BE470C-FA9F-417A-8E1A-8E8A297376DD}"/>
    <cellStyle name="Input [yellow] 2 4" xfId="775" xr:uid="{00000000-0005-0000-0000-00000F020000}"/>
    <cellStyle name="Input [yellow] 2 4 10" xfId="2434" xr:uid="{05D6850D-3956-460D-AB67-17622A5B7570}"/>
    <cellStyle name="Input [yellow] 2 4 2" xfId="956" xr:uid="{5A76AA2F-CDFB-483A-B84A-BB1BD3316527}"/>
    <cellStyle name="Input [yellow] 2 4 3" xfId="1535" xr:uid="{CD4EF97D-EEDC-43D4-A1C9-C5D9052E1111}"/>
    <cellStyle name="Input [yellow] 2 4 4" xfId="1673" xr:uid="{243ECBEA-B307-4522-80F4-AC6A1C82B7C7}"/>
    <cellStyle name="Input [yellow] 2 4 5" xfId="1715" xr:uid="{FFD8B331-55AB-40BE-A079-744DF5487514}"/>
    <cellStyle name="Input [yellow] 2 4 6" xfId="1854" xr:uid="{F926DBCD-BA66-433E-9524-A141D78121E6}"/>
    <cellStyle name="Input [yellow] 2 4 7" xfId="2204" xr:uid="{2FD2E153-9D54-4118-A40E-7BBF1EC6E95B}"/>
    <cellStyle name="Input [yellow] 2 4 8" xfId="2245" xr:uid="{941CB068-71A8-43B0-B140-6A1D3B8E961D}"/>
    <cellStyle name="Input [yellow] 2 4 9" xfId="2340" xr:uid="{0E27A8AF-48CE-46D8-9776-6B420766291D}"/>
    <cellStyle name="Input [yellow] 2 5" xfId="857" xr:uid="{C729BEB4-F9CB-43A2-866A-928C347BEBE7}"/>
    <cellStyle name="Input [yellow] 2 6" xfId="1887" xr:uid="{086F2353-3F1E-444D-A63B-8FFC976D4E25}"/>
    <cellStyle name="Input [yellow] 3" xfId="734" xr:uid="{00000000-0005-0000-0000-000010020000}"/>
    <cellStyle name="Input [yellow] 3 2" xfId="915" xr:uid="{10ED3DCD-1FD3-481A-A89F-71A3AD3AD10D}"/>
    <cellStyle name="Input [yellow] 3 3" xfId="2110" xr:uid="{84ECDC18-E548-4119-930B-103FC1B34C06}"/>
    <cellStyle name="Input [yellow] 3 4" xfId="2144" xr:uid="{2860B4DD-2F37-4C3D-9267-2DA524365F79}"/>
    <cellStyle name="Input [yellow] 4" xfId="728" xr:uid="{00000000-0005-0000-0000-000011020000}"/>
    <cellStyle name="Input [yellow] 4 2" xfId="909" xr:uid="{920EFCC1-C49C-4D5D-85C8-8DE914BCD237}"/>
    <cellStyle name="Input [yellow] 5" xfId="771" xr:uid="{00000000-0005-0000-0000-000012020000}"/>
    <cellStyle name="Input [yellow] 5 10" xfId="2433" xr:uid="{23EA25D5-7F01-4726-A56E-0DA3EF4874AC}"/>
    <cellStyle name="Input [yellow] 5 2" xfId="952" xr:uid="{B88600A2-6BE1-4AED-BCE8-4E3AF0D67B8A}"/>
    <cellStyle name="Input [yellow] 5 3" xfId="1531" xr:uid="{99AEC90C-C6CF-4DCE-A747-AE08351052D8}"/>
    <cellStyle name="Input [yellow] 5 4" xfId="1669" xr:uid="{D70AB37D-C236-454D-BCA6-C5762F1CEC37}"/>
    <cellStyle name="Input [yellow] 5 5" xfId="1714" xr:uid="{515DAB24-23DA-4AFE-9A7C-04824B9ABC89}"/>
    <cellStyle name="Input [yellow] 5 6" xfId="1850" xr:uid="{88CBCDFB-15BE-430B-8370-A218274847B9}"/>
    <cellStyle name="Input [yellow] 5 7" xfId="2202" xr:uid="{6DC645E9-7AB7-40B3-A392-B42C0C4CABC7}"/>
    <cellStyle name="Input [yellow] 5 8" xfId="2244" xr:uid="{7FD93C43-D516-4DB9-9347-9AE29A9A9228}"/>
    <cellStyle name="Input [yellow] 5 9" xfId="2339" xr:uid="{6A2927FC-9948-41C6-977A-6B43ABE29A1F}"/>
    <cellStyle name="Input [yellow] 6" xfId="818" xr:uid="{3BA220A6-B1CA-4043-A61D-8D6FFA423FCD}"/>
    <cellStyle name="Input [yellow] 6 2" xfId="1147" xr:uid="{26E54903-2072-4CA5-8376-C29C16B13D17}"/>
    <cellStyle name="Input [yellow] 7" xfId="1962" xr:uid="{B00273B0-2917-4410-8B87-C40F76CEFACF}"/>
    <cellStyle name="Input 2" xfId="45" xr:uid="{00000000-0005-0000-0000-000013020000}"/>
    <cellStyle name="Input 2 10" xfId="1717" xr:uid="{F8E981C5-BE0E-40CF-929E-2A959523D935}"/>
    <cellStyle name="Input 2 11" xfId="1862" xr:uid="{C6D05D96-BC70-40F6-B64C-D69E2F4F9BE4}"/>
    <cellStyle name="Input 2 12" xfId="2064" xr:uid="{DF777C59-3B38-45CD-9191-0D1E28CD3A47}"/>
    <cellStyle name="Input 2 13" xfId="1863" xr:uid="{AE2499B6-91B2-4193-9B7B-FDAA94B60400}"/>
    <cellStyle name="Input 2 14" xfId="1956" xr:uid="{60B04B9D-BABF-421B-BAE6-9B6E5DE93601}"/>
    <cellStyle name="Input 2 15" xfId="1903" xr:uid="{8B795928-E0F7-49A9-9ABE-321ED20B369E}"/>
    <cellStyle name="Input 2 2" xfId="521" xr:uid="{00000000-0005-0000-0000-000014020000}"/>
    <cellStyle name="Input 2 2 10" xfId="1961" xr:uid="{15BAD010-ACEF-4F1C-AFC9-76F6290130A6}"/>
    <cellStyle name="Input 2 2 11" xfId="1974" xr:uid="{C73219A4-2AB9-469E-AB9E-2C320C3682DB}"/>
    <cellStyle name="Input 2 2 12" xfId="1901" xr:uid="{A9F72D96-39E3-4BB2-89A6-C5A60E44C836}"/>
    <cellStyle name="Input 2 2 13" xfId="1982" xr:uid="{F06F0329-C36A-4B3B-882F-B5F1C10997E3}"/>
    <cellStyle name="Input 2 2 2" xfId="677" xr:uid="{00000000-0005-0000-0000-000015020000}"/>
    <cellStyle name="Input 2 2 2 10" xfId="2258" xr:uid="{AFB434CC-EC76-40EA-B7BD-05C5B0BC4A13}"/>
    <cellStyle name="Input 2 2 2 11" xfId="2352" xr:uid="{2EA2C114-F05B-440C-91B2-F04FCC44A844}"/>
    <cellStyle name="Input 2 2 2 2" xfId="696" xr:uid="{00000000-0005-0000-0000-000016020000}"/>
    <cellStyle name="Input 2 2 2 2 2" xfId="877" xr:uid="{28B22904-0078-46FB-A259-F0170F53D5DA}"/>
    <cellStyle name="Input 2 2 2 2 2 2" xfId="1205" xr:uid="{DC36BF52-9E1C-44EE-B85B-396BB5E966B1}"/>
    <cellStyle name="Input 2 2 2 2 2 3" xfId="1360" xr:uid="{FF59F6B9-FB82-4FCE-B6B8-139B5E024DA0}"/>
    <cellStyle name="Input 2 2 2 2 3" xfId="988" xr:uid="{42CFC6C3-F985-4966-8BB1-4A472710A205}"/>
    <cellStyle name="Input 2 2 2 2 3 2" xfId="1451" xr:uid="{50D17E16-BCE9-4B5A-A62E-12C37431BEF6}"/>
    <cellStyle name="Input 2 2 2 2 4" xfId="1569" xr:uid="{82C6F1AC-6695-4B38-9F2D-098CBDFE8354}"/>
    <cellStyle name="Input 2 2 2 2 5" xfId="1779" xr:uid="{D609EC55-EB51-43B7-A379-B5236CA293B7}"/>
    <cellStyle name="Input 2 2 2 2 6" xfId="2108" xr:uid="{B08C4671-A911-45DD-BE13-3398A741742D}"/>
    <cellStyle name="Input 2 2 2 2 7" xfId="2146" xr:uid="{BDA38687-CD61-41B0-9896-5EF278272D71}"/>
    <cellStyle name="Input 2 2 2 2 8" xfId="2274" xr:uid="{340C0874-9ED8-423C-BE15-CDAC882325A7}"/>
    <cellStyle name="Input 2 2 2 2 9" xfId="2368" xr:uid="{4898C70A-05D6-4812-B522-7E78BEBA0B8E}"/>
    <cellStyle name="Input 2 2 2 3" xfId="858" xr:uid="{58594F07-5F13-4A75-A71B-15DF6FFF4926}"/>
    <cellStyle name="Input 2 2 2 3 2" xfId="1186" xr:uid="{2ED4007E-53A6-4446-8099-F18FFCBFBC83}"/>
    <cellStyle name="Input 2 2 2 3 3" xfId="1344" xr:uid="{6DD18699-DDE0-4899-AB2A-4A3490606679}"/>
    <cellStyle name="Input 2 2 2 4" xfId="972" xr:uid="{9346A0F3-1641-44DD-8416-097401EFE038}"/>
    <cellStyle name="Input 2 2 2 4 2" xfId="1435" xr:uid="{4A3E71D7-2B26-4425-9052-101E7D48C8B9}"/>
    <cellStyle name="Input 2 2 2 5" xfId="1585" xr:uid="{CA553B2C-2D35-437F-A1ED-49845F16BD46}"/>
    <cellStyle name="Input 2 2 2 6" xfId="1760" xr:uid="{BD165571-4479-4105-BA60-34415EEB95B1}"/>
    <cellStyle name="Input 2 2 2 7" xfId="2087" xr:uid="{1DA0F947-5B4E-4DA0-A5CE-C7850F9DDA97}"/>
    <cellStyle name="Input 2 2 2 8" xfId="1886" xr:uid="{6028AB26-8A09-42A3-A2D2-D41AB8DFBC18}"/>
    <cellStyle name="Input 2 2 2 9" xfId="1942" xr:uid="{3EF555FF-612A-40B7-9810-C2A8485D57D8}"/>
    <cellStyle name="Input 2 2 3" xfId="727" xr:uid="{00000000-0005-0000-0000-000017020000}"/>
    <cellStyle name="Input 2 2 3 2" xfId="908" xr:uid="{1154FEB5-840B-42CD-B922-BBA7E892C928}"/>
    <cellStyle name="Input 2 2 3 2 2" xfId="1235" xr:uid="{1A8920EA-770D-4FAD-B2F6-B05059F96982}"/>
    <cellStyle name="Input 2 2 3 2 3" xfId="1389" xr:uid="{51EF1492-AC72-479F-A61B-C3107473DB32}"/>
    <cellStyle name="Input 2 2 3 3" xfId="1018" xr:uid="{84872AF1-632C-4158-AD21-CDBA509A4745}"/>
    <cellStyle name="Input 2 2 3 3 2" xfId="1480" xr:uid="{D95D7827-E2A7-49D8-AF6C-23F7ADFB4F91}"/>
    <cellStyle name="Input 2 2 3 4" xfId="1680" xr:uid="{B443199C-EBDF-4E51-AB68-A7F611385FF7}"/>
    <cellStyle name="Input 2 2 3 5" xfId="1809" xr:uid="{9280B900-7E77-4E58-8FE5-5571461986B4}"/>
    <cellStyle name="Input 2 2 3 6" xfId="2171" xr:uid="{4DF6A9D9-7C38-4B99-9C32-885DFC1C7D91}"/>
    <cellStyle name="Input 2 2 3 7" xfId="2209" xr:uid="{0ABF0950-B071-4237-ABA6-528663038AAE}"/>
    <cellStyle name="Input 2 2 3 8" xfId="2304" xr:uid="{12530DBC-91C3-4811-A4C2-9E19C4E4EF1E}"/>
    <cellStyle name="Input 2 2 3 9" xfId="2398" xr:uid="{70393B9A-FE4C-4777-BE90-D35D529B8236}"/>
    <cellStyle name="Input 2 2 4" xfId="819" xr:uid="{3BC5703C-22CF-4B33-A3E2-B3EFDB1F1250}"/>
    <cellStyle name="Input 2 2 4 2" xfId="1148" xr:uid="{01A95BA1-0748-4FC8-9BC2-97947F207D97}"/>
    <cellStyle name="Input 2 2 4 3" xfId="1058" xr:uid="{F19602B1-E4F4-4A16-8CBD-54026C60227F}"/>
    <cellStyle name="Input 2 2 5" xfId="804" xr:uid="{4D03359A-017C-465E-A37F-E3294E958B1E}"/>
    <cellStyle name="Input 2 2 5 2" xfId="1137" xr:uid="{BD73CA9B-4225-490F-B028-40391773CDDF}"/>
    <cellStyle name="Input 2 2 5 3" xfId="1067" xr:uid="{A8433766-5FE7-4BC5-9111-7A4F9152B04F}"/>
    <cellStyle name="Input 2 2 6" xfId="1622" xr:uid="{3136A77B-428F-4CBB-AE18-EE11DD00A508}"/>
    <cellStyle name="Input 2 2 7" xfId="1614" xr:uid="{8F3FE197-0328-4D48-B719-2934FDDA0C7E}"/>
    <cellStyle name="Input 2 2 8" xfId="1727" xr:uid="{61EE5544-7A4B-4549-970C-B9F075742FA4}"/>
    <cellStyle name="Input 2 2 9" xfId="2009" xr:uid="{4F65D365-BC62-4B7C-B4B2-13E38763E6AC}"/>
    <cellStyle name="Input 2 3" xfId="522" xr:uid="{00000000-0005-0000-0000-000018020000}"/>
    <cellStyle name="Input 2 3 10" xfId="1960" xr:uid="{FD53E2D1-31D1-45ED-8CDF-D4011EE72AD9}"/>
    <cellStyle name="Input 2 3 11" xfId="2068" xr:uid="{26105990-371B-489C-8045-D661B78A8033}"/>
    <cellStyle name="Input 2 3 12" xfId="2133" xr:uid="{70255C72-81F6-4733-A71D-8D98B9456D24}"/>
    <cellStyle name="Input 2 3 13" xfId="2016" xr:uid="{960AFADD-DDDC-489D-B982-E78D8357CBAF}"/>
    <cellStyle name="Input 2 3 2" xfId="678" xr:uid="{00000000-0005-0000-0000-000019020000}"/>
    <cellStyle name="Input 2 3 2 10" xfId="2259" xr:uid="{35D87E12-761A-415B-AA4A-2F709416114E}"/>
    <cellStyle name="Input 2 3 2 11" xfId="2353" xr:uid="{3FE8E5EB-33D4-4F33-B843-D309AAA82BA6}"/>
    <cellStyle name="Input 2 3 2 2" xfId="755" xr:uid="{00000000-0005-0000-0000-00001A020000}"/>
    <cellStyle name="Input 2 3 2 2 2" xfId="936" xr:uid="{B54C8287-2CCD-4F98-ACD3-B47104FED5CA}"/>
    <cellStyle name="Input 2 3 2 2 2 2" xfId="1260" xr:uid="{C25E2073-7C93-466E-8214-46352B6AD080}"/>
    <cellStyle name="Input 2 3 2 2 2 3" xfId="1408" xr:uid="{A3294AA7-ED27-4F91-B63D-2190FC6C7CF0}"/>
    <cellStyle name="Input 2 3 2 2 3" xfId="1038" xr:uid="{3F7D82D8-B2C5-463A-A8FD-E7A80FF2931F}"/>
    <cellStyle name="Input 2 3 2 2 3 2" xfId="1499" xr:uid="{296533D8-13EB-45A9-A6CA-43B0B6C6CCE8}"/>
    <cellStyle name="Input 2 3 2 2 4" xfId="1699" xr:uid="{A44C7B48-13FB-44BF-8836-8F9337E1AB11}"/>
    <cellStyle name="Input 2 3 2 2 5" xfId="1834" xr:uid="{A658C3B5-A884-4F90-882B-9A39D6073423}"/>
    <cellStyle name="Input 2 3 2 2 6" xfId="2187" xr:uid="{4D32F765-6EF2-4BD4-B203-9AF407A58EE3}"/>
    <cellStyle name="Input 2 3 2 2 7" xfId="2229" xr:uid="{FDE2536A-2FD2-4198-8B77-2ABEFF8207C1}"/>
    <cellStyle name="Input 2 3 2 2 8" xfId="2324" xr:uid="{A83E14EA-AA59-4DAE-B1FB-65BB3DDD2BCA}"/>
    <cellStyle name="Input 2 3 2 2 9" xfId="2418" xr:uid="{769BB028-E11A-4F4F-A4D0-724B0500F222}"/>
    <cellStyle name="Input 2 3 2 3" xfId="859" xr:uid="{8DD91032-247E-4EF5-BB10-824A5B716216}"/>
    <cellStyle name="Input 2 3 2 3 2" xfId="1187" xr:uid="{A271C70F-FF11-4789-B668-1B4B58AD433D}"/>
    <cellStyle name="Input 2 3 2 3 3" xfId="1345" xr:uid="{BEE87C04-04CC-4CE9-B106-1945A0B97095}"/>
    <cellStyle name="Input 2 3 2 4" xfId="973" xr:uid="{B48143D5-DDDD-48A0-BC04-678A9DC1E2B9}"/>
    <cellStyle name="Input 2 3 2 4 2" xfId="1436" xr:uid="{48F0B80E-B6DD-493F-8116-A51C10938C7B}"/>
    <cellStyle name="Input 2 3 2 5" xfId="1584" xr:uid="{A067E893-5A77-4F47-9A82-F8012FF61F7D}"/>
    <cellStyle name="Input 2 3 2 6" xfId="1761" xr:uid="{73664B77-F148-4A39-94A9-C368F5D7512A}"/>
    <cellStyle name="Input 2 3 2 7" xfId="2088" xr:uid="{45FD5316-62F5-43A8-814E-999727B7BAD1}"/>
    <cellStyle name="Input 2 3 2 8" xfId="1885" xr:uid="{D7E179C6-344C-4006-A926-F31F2A1D0F02}"/>
    <cellStyle name="Input 2 3 2 9" xfId="1941" xr:uid="{DCE07120-79EF-4C76-BE94-4E23F16E64F2}"/>
    <cellStyle name="Input 2 3 3" xfId="726" xr:uid="{00000000-0005-0000-0000-00001B020000}"/>
    <cellStyle name="Input 2 3 3 2" xfId="907" xr:uid="{107D6E3B-BA47-4B04-BA18-6E4AEB783CBD}"/>
    <cellStyle name="Input 2 3 3 2 2" xfId="1234" xr:uid="{B9365B20-350F-4D52-8938-C924829DDDC7}"/>
    <cellStyle name="Input 2 3 3 2 3" xfId="1388" xr:uid="{BE8DF7F1-D3F7-4D18-9C82-29D781CF34A6}"/>
    <cellStyle name="Input 2 3 3 3" xfId="1017" xr:uid="{4D84E689-02AD-4A1F-BFBA-CA213E09A714}"/>
    <cellStyle name="Input 2 3 3 3 2" xfId="1479" xr:uid="{556653C8-764D-4C94-8248-9C33FCB4F303}"/>
    <cellStyle name="Input 2 3 3 4" xfId="1679" xr:uid="{08381D15-9C79-450A-A41B-AA578F0B525B}"/>
    <cellStyle name="Input 2 3 3 5" xfId="1808" xr:uid="{BE665E85-8600-4E6E-BD0B-42D98E21C9F8}"/>
    <cellStyle name="Input 2 3 3 6" xfId="2170" xr:uid="{46CC4BCE-3997-43E3-997F-70F0A73D0F65}"/>
    <cellStyle name="Input 2 3 3 7" xfId="2208" xr:uid="{27EDDD2E-85AC-418D-A34F-65814ED932D8}"/>
    <cellStyle name="Input 2 3 3 8" xfId="2303" xr:uid="{AC63FEE4-D03B-4D88-A416-239C872B1E80}"/>
    <cellStyle name="Input 2 3 3 9" xfId="2397" xr:uid="{8FEC57ED-0716-45D4-93B7-C863D502D915}"/>
    <cellStyle name="Input 2 3 4" xfId="820" xr:uid="{92F49DCF-454E-43A0-9A96-7DC8C84A52AC}"/>
    <cellStyle name="Input 2 3 4 2" xfId="1149" xr:uid="{54DF5651-4D79-44EB-AD83-23FE130DF84B}"/>
    <cellStyle name="Input 2 3 4 3" xfId="1057" xr:uid="{7FE904CD-7DB4-4A92-9FFB-9096F321A2DA}"/>
    <cellStyle name="Input 2 3 5" xfId="803" xr:uid="{2B02FF52-C1C3-4725-8058-A8B3A0CF8C8A}"/>
    <cellStyle name="Input 2 3 5 2" xfId="1136" xr:uid="{35DE2413-D5F3-4D33-8B41-08864E673E5D}"/>
    <cellStyle name="Input 2 3 5 3" xfId="1068" xr:uid="{412D3255-5CA5-4069-9680-E6917C49E466}"/>
    <cellStyle name="Input 2 3 6" xfId="1623" xr:uid="{6E86DD94-9D79-4C5D-8AD1-778F42757521}"/>
    <cellStyle name="Input 2 3 7" xfId="1613" xr:uid="{6F4DFA36-84C7-4D14-AEC7-1A62676633C8}"/>
    <cellStyle name="Input 2 3 8" xfId="1728" xr:uid="{9B176E3E-FBD8-4BAA-ADD8-D942C4A319E4}"/>
    <cellStyle name="Input 2 3 9" xfId="2010" xr:uid="{21544B7F-4870-4C54-B038-C12B1B072D1B}"/>
    <cellStyle name="Input 2 4" xfId="666" xr:uid="{00000000-0005-0000-0000-00001C020000}"/>
    <cellStyle name="Input 2 4 10" xfId="2109" xr:uid="{96123DB1-5FB1-4568-B339-368BA583D9B3}"/>
    <cellStyle name="Input 2 4 11" xfId="2343" xr:uid="{B30D7365-92AD-477F-9101-2958F4E5A2A1}"/>
    <cellStyle name="Input 2 4 2" xfId="706" xr:uid="{00000000-0005-0000-0000-00001D020000}"/>
    <cellStyle name="Input 2 4 2 2" xfId="887" xr:uid="{627888A6-A9BD-4066-BF2E-DC86CDF60D8F}"/>
    <cellStyle name="Input 2 4 2 2 2" xfId="1214" xr:uid="{6DF7C2D3-1A44-451C-BB36-7238319E1AC2}"/>
    <cellStyle name="Input 2 4 2 2 3" xfId="1368" xr:uid="{11A14DA5-B38F-4920-BE80-97266212D26C}"/>
    <cellStyle name="Input 2 4 2 3" xfId="997" xr:uid="{6042F5FD-B239-4F6B-A02C-5C26160E47B5}"/>
    <cellStyle name="Input 2 4 2 3 2" xfId="1459" xr:uid="{E327C5A1-D559-4937-80B0-5DD9F691CE37}"/>
    <cellStyle name="Input 2 4 2 4" xfId="1561" xr:uid="{57756693-5613-45EE-B784-09158B53A4EF}"/>
    <cellStyle name="Input 2 4 2 5" xfId="1788" xr:uid="{8A71448D-B071-4B98-BA54-F7BCD99E19CA}"/>
    <cellStyle name="Input 2 4 2 6" xfId="2040" xr:uid="{723CC4C2-E958-4F59-BBAF-0E2AD0AD2CF5}"/>
    <cellStyle name="Input 2 4 2 7" xfId="1923" xr:uid="{C478EBC1-2801-45B7-9EB4-0AD55399EA28}"/>
    <cellStyle name="Input 2 4 2 8" xfId="2283" xr:uid="{8DBED306-43D8-4035-8664-0D25A26FB4F4}"/>
    <cellStyle name="Input 2 4 2 9" xfId="2377" xr:uid="{CA569FC9-2BF8-47C7-9FCB-452EFD70A038}"/>
    <cellStyle name="Input 2 4 3" xfId="847" xr:uid="{610F8EF0-A387-4CB0-B374-4B528FD44690}"/>
    <cellStyle name="Input 2 4 3 2" xfId="1176" xr:uid="{D49F216C-BC93-4F01-805B-841502370897}"/>
    <cellStyle name="Input 2 4 3 3" xfId="1336" xr:uid="{45EDF3ED-D30C-487C-BBEF-1ACDB2802169}"/>
    <cellStyle name="Input 2 4 4" xfId="963" xr:uid="{D91C14D5-055B-446E-B15F-A2F6ED19B502}"/>
    <cellStyle name="Input 2 4 4 2" xfId="1427" xr:uid="{41075418-7FCC-412B-9E24-6FED07EFB05E}"/>
    <cellStyle name="Input 2 4 5" xfId="1593" xr:uid="{610C9230-1A9F-4D18-8BB4-B67D4C44E6B7}"/>
    <cellStyle name="Input 2 4 6" xfId="1750" xr:uid="{C3A29FD7-108F-4926-8168-59FAB70EC337}"/>
    <cellStyle name="Input 2 4 7" xfId="2077" xr:uid="{D681BAC3-B9EA-4668-9496-BABD84921C54}"/>
    <cellStyle name="Input 2 4 8" xfId="1896" xr:uid="{C77A6132-3501-4E67-8D1C-51D49F0FA384}"/>
    <cellStyle name="Input 2 4 9" xfId="2157" xr:uid="{7B57EB3A-CE08-4987-8007-429A20728DDF}"/>
    <cellStyle name="Input 2 5" xfId="743" xr:uid="{00000000-0005-0000-0000-00001E020000}"/>
    <cellStyle name="Input 2 5 2" xfId="924" xr:uid="{EFD4C363-71AE-47E5-AFD6-CE51231E495E}"/>
    <cellStyle name="Input 2 5 2 2" xfId="1249" xr:uid="{E8BE4935-488A-4EA5-9A27-72E1035A8739}"/>
    <cellStyle name="Input 2 5 2 3" xfId="1400" xr:uid="{0FD34534-2BBF-40D2-A321-008D5FDD075E}"/>
    <cellStyle name="Input 2 5 3" xfId="1030" xr:uid="{A2986A8B-B335-4FBD-BB67-6FCE2851ADE4}"/>
    <cellStyle name="Input 2 5 3 2" xfId="1491" xr:uid="{276AB5BB-2784-4A5D-8A7D-E06ED8A4FF9E}"/>
    <cellStyle name="Input 2 5 4" xfId="1691" xr:uid="{A1BE6AAE-A369-42EB-8391-7E1C45C2FDB7}"/>
    <cellStyle name="Input 2 5 5" xfId="1823" xr:uid="{9D7B8555-9E1B-4E24-B4C3-FEB21D7CADA4}"/>
    <cellStyle name="Input 2 5 6" xfId="2183" xr:uid="{4160ED26-20FE-4815-B197-CC454CE28D70}"/>
    <cellStyle name="Input 2 5 7" xfId="2220" xr:uid="{191FA839-C451-46D0-A141-2241AF6DD8C3}"/>
    <cellStyle name="Input 2 5 8" xfId="2316" xr:uid="{CEAE98E9-E912-43DD-9279-BE8A25C0BD67}"/>
    <cellStyle name="Input 2 5 9" xfId="2410" xr:uid="{B02F44F4-67AC-4193-BDD9-27A9330FC56E}"/>
    <cellStyle name="Input 2 6" xfId="783" xr:uid="{9D0477EC-FCFC-4189-A151-71DC2E89354D}"/>
    <cellStyle name="Input 2 6 2" xfId="1116" xr:uid="{10BD54F5-3241-406A-A082-298A1B0C0604}"/>
    <cellStyle name="Input 2 6 3" xfId="1087" xr:uid="{23F0571C-B65A-452D-9CF9-B8CB20E3094A}"/>
    <cellStyle name="Input 2 7" xfId="841" xr:uid="{80D58625-87BE-4CD1-975C-14588B94D9C0}"/>
    <cellStyle name="Input 2 7 2" xfId="1170" xr:uid="{42B7266C-779B-439F-B9FF-50948820A571}"/>
    <cellStyle name="Input 2 7 3" xfId="1330" xr:uid="{D6C1ED4B-2C62-43E8-9E35-78DCAADF5079}"/>
    <cellStyle name="Input 2 8" xfId="1541" xr:uid="{256973A9-427F-4C57-A500-CD1CBC0160E9}"/>
    <cellStyle name="Input 2 9" xfId="1636" xr:uid="{01EDE301-C3D1-4FB6-81E4-5CDA8C13BD3E}"/>
    <cellStyle name="Input 3" xfId="523" xr:uid="{00000000-0005-0000-0000-00001F020000}"/>
    <cellStyle name="Input 3 10" xfId="1959" xr:uid="{9F3E6A18-78A0-46B7-BB61-2075CBFFBAA7}"/>
    <cellStyle name="Input 3 11" xfId="1973" xr:uid="{CF77475D-C1C1-4D2A-BB07-DEF928A9C1B0}"/>
    <cellStyle name="Input 3 12" xfId="2028" xr:uid="{7A56EE94-2992-4FCF-A9F1-2724574F1285}"/>
    <cellStyle name="Input 3 13" xfId="1981" xr:uid="{A48C5801-0B56-498E-AB0C-99A3A2CDB9E7}"/>
    <cellStyle name="Input 3 2" xfId="679" xr:uid="{00000000-0005-0000-0000-000020020000}"/>
    <cellStyle name="Input 3 2 10" xfId="2260" xr:uid="{4A6625B6-FD05-423D-A5C8-1A8DAB5153A6}"/>
    <cellStyle name="Input 3 2 11" xfId="2354" xr:uid="{A3938F4D-FA42-43B7-B2EE-973D74EA7ADD}"/>
    <cellStyle name="Input 3 2 2" xfId="756" xr:uid="{00000000-0005-0000-0000-000021020000}"/>
    <cellStyle name="Input 3 2 2 2" xfId="937" xr:uid="{0F8EE2D5-30E1-42BD-AAC4-851539ACF570}"/>
    <cellStyle name="Input 3 2 2 2 2" xfId="1261" xr:uid="{7ABE90A1-FA16-48A5-B166-5B1DE9D6EBB5}"/>
    <cellStyle name="Input 3 2 2 2 3" xfId="1409" xr:uid="{FF17DF6D-D528-447E-9FCC-DE7D112722A6}"/>
    <cellStyle name="Input 3 2 2 3" xfId="1039" xr:uid="{52D85513-5DBC-416F-9239-1329D0D67971}"/>
    <cellStyle name="Input 3 2 2 3 2" xfId="1500" xr:uid="{8F44F346-2E8A-4ADC-AD68-88978F654751}"/>
    <cellStyle name="Input 3 2 2 4" xfId="1700" xr:uid="{8BFE751E-BD80-45B5-AEDF-CC48FACF79F7}"/>
    <cellStyle name="Input 3 2 2 5" xfId="1835" xr:uid="{26F24196-8515-4D3B-88DD-0AFAEA8C4A52}"/>
    <cellStyle name="Input 3 2 2 6" xfId="2188" xr:uid="{EA5A566E-6D63-4398-9DED-88ED1FCA6C9F}"/>
    <cellStyle name="Input 3 2 2 7" xfId="2230" xr:uid="{D5B8CC6C-3C06-4E59-92E2-79C6F804A469}"/>
    <cellStyle name="Input 3 2 2 8" xfId="2325" xr:uid="{EA746F0A-E751-4FF8-81E1-B2F384A272FE}"/>
    <cellStyle name="Input 3 2 2 9" xfId="2419" xr:uid="{98FAF9AE-B114-42C5-9A4E-C5558252B373}"/>
    <cellStyle name="Input 3 2 3" xfId="860" xr:uid="{CCA91E87-9F19-45E9-9683-3F5225FB5F37}"/>
    <cellStyle name="Input 3 2 3 2" xfId="1188" xr:uid="{8364C186-9AAD-4556-9269-B1E0A35F92E2}"/>
    <cellStyle name="Input 3 2 3 3" xfId="1346" xr:uid="{E7F1B6D1-187D-4865-BEAA-DE825D1B438E}"/>
    <cellStyle name="Input 3 2 4" xfId="974" xr:uid="{B73BFB4C-072B-404C-9BEC-3ABF8BE206F2}"/>
    <cellStyle name="Input 3 2 4 2" xfId="1437" xr:uid="{5242916E-A722-495A-9B31-0642D0A18FE9}"/>
    <cellStyle name="Input 3 2 5" xfId="1583" xr:uid="{0DFF5CEF-1D42-4010-AAB9-A43076071E5A}"/>
    <cellStyle name="Input 3 2 6" xfId="1762" xr:uid="{88D3CD58-3CEC-4F75-B4C0-5E176DC4A7C3}"/>
    <cellStyle name="Input 3 2 7" xfId="2089" xr:uid="{252680EB-2B62-4DAC-8339-FB3941D2D933}"/>
    <cellStyle name="Input 3 2 8" xfId="1884" xr:uid="{7F930182-36A7-4877-8ED3-01D2C396E2AF}"/>
    <cellStyle name="Input 3 2 9" xfId="1940" xr:uid="{B3DEB482-D90F-4DF7-9F5D-14EE8460C050}"/>
    <cellStyle name="Input 3 3" xfId="725" xr:uid="{00000000-0005-0000-0000-000022020000}"/>
    <cellStyle name="Input 3 3 2" xfId="906" xr:uid="{034993B3-3EC6-43F9-AC55-4FA270316DD0}"/>
    <cellStyle name="Input 3 3 2 2" xfId="1233" xr:uid="{5E8B3AAE-93E7-4635-B894-AD05736A4045}"/>
    <cellStyle name="Input 3 3 2 3" xfId="1387" xr:uid="{67BC3BD5-5B5B-41FE-A9C4-1EEEB1D908DE}"/>
    <cellStyle name="Input 3 3 3" xfId="1016" xr:uid="{5401E5F2-36E4-43A7-B98E-401FF3693B2F}"/>
    <cellStyle name="Input 3 3 3 2" xfId="1478" xr:uid="{FE200FF6-08CD-4F8C-8C9F-472F34E1FA1B}"/>
    <cellStyle name="Input 3 3 4" xfId="1678" xr:uid="{C203CB76-63BA-4A75-B312-53DE2944F48B}"/>
    <cellStyle name="Input 3 3 5" xfId="1807" xr:uid="{EF746AC5-1BF4-4EFC-BF28-25A1302D22BD}"/>
    <cellStyle name="Input 3 3 6" xfId="2169" xr:uid="{A701A204-BC83-4FC9-9815-0F0D48EFA349}"/>
    <cellStyle name="Input 3 3 7" xfId="1906" xr:uid="{5A0234B4-0732-49F5-BB72-43E833E0D825}"/>
    <cellStyle name="Input 3 3 8" xfId="2302" xr:uid="{249F0EFD-77FF-4DEC-9FF5-6205E89E3165}"/>
    <cellStyle name="Input 3 3 9" xfId="2396" xr:uid="{29D74EDC-C07B-4CD1-A9C1-5C5EFBF84CC4}"/>
    <cellStyle name="Input 3 4" xfId="821" xr:uid="{87A40B0B-4E9C-4DDF-861B-34F4AB8EB644}"/>
    <cellStyle name="Input 3 4 2" xfId="1150" xr:uid="{037E0800-5313-4245-A09D-62E801006A20}"/>
    <cellStyle name="Input 3 4 3" xfId="1056" xr:uid="{5E51EF1F-E4EE-4F94-9795-19053C044E99}"/>
    <cellStyle name="Input 3 5" xfId="802" xr:uid="{6E0FD7DD-4648-48C0-960E-9FE9E2405306}"/>
    <cellStyle name="Input 3 5 2" xfId="1135" xr:uid="{D1B437CC-B635-400A-A2C5-CAAFE2C4BC3F}"/>
    <cellStyle name="Input 3 5 3" xfId="1069" xr:uid="{3212A3D4-D4DF-4271-9170-819C04D5C448}"/>
    <cellStyle name="Input 3 6" xfId="1624" xr:uid="{3870443A-B3BF-4C1F-A1C8-8B2EFC660D1F}"/>
    <cellStyle name="Input 3 7" xfId="1612" xr:uid="{0B441984-4542-4B82-85DC-BF34E4E2C7F9}"/>
    <cellStyle name="Input 3 8" xfId="1729" xr:uid="{C74B3430-F35A-43F2-8A83-9EC7FC53493A}"/>
    <cellStyle name="Input 3 9" xfId="2011" xr:uid="{3C3212BC-2AEE-4C39-9F4A-CC2F1F3B1ACA}"/>
    <cellStyle name="Input 4" xfId="524" xr:uid="{00000000-0005-0000-0000-000023020000}"/>
    <cellStyle name="Input 4 10" xfId="1958" xr:uid="{0F33BEB8-3339-4B41-8015-DEFDA3E69550}"/>
    <cellStyle name="Input 4 11" xfId="1972" xr:uid="{838111F6-1146-464D-97DD-9784ACE3822D}"/>
    <cellStyle name="Input 4 12" xfId="1998" xr:uid="{E1D79A88-AECA-4ED0-8C99-FF6BDCD1630B}"/>
    <cellStyle name="Input 4 13" xfId="1980" xr:uid="{9B7B8DD3-6644-4157-BF98-60F342762761}"/>
    <cellStyle name="Input 4 2" xfId="680" xr:uid="{00000000-0005-0000-0000-000024020000}"/>
    <cellStyle name="Input 4 2 10" xfId="2261" xr:uid="{48C76533-38EE-4C94-B4DC-1693D5543D74}"/>
    <cellStyle name="Input 4 2 11" xfId="2355" xr:uid="{C67CD424-9929-485A-AB40-A10CC2FF224C}"/>
    <cellStyle name="Input 4 2 2" xfId="757" xr:uid="{00000000-0005-0000-0000-000025020000}"/>
    <cellStyle name="Input 4 2 2 2" xfId="938" xr:uid="{7371A84D-7183-4C59-B995-33C69035DA81}"/>
    <cellStyle name="Input 4 2 2 2 2" xfId="1262" xr:uid="{B52E7703-4A56-4207-8562-C4368E1C19EF}"/>
    <cellStyle name="Input 4 2 2 2 3" xfId="1410" xr:uid="{AD3D8B96-8C0B-4EFC-B074-4652336D1CDF}"/>
    <cellStyle name="Input 4 2 2 3" xfId="1040" xr:uid="{95F31FD9-C2C3-45D9-A1B4-B5A360F9D7ED}"/>
    <cellStyle name="Input 4 2 2 3 2" xfId="1501" xr:uid="{24F27049-B909-4368-8DFD-508DBC6C725E}"/>
    <cellStyle name="Input 4 2 2 4" xfId="1701" xr:uid="{31CF5AD0-FB14-4F1B-B245-A7041514750A}"/>
    <cellStyle name="Input 4 2 2 5" xfId="1836" xr:uid="{D0FEEF6D-3B88-4268-8D35-683E4A256DC9}"/>
    <cellStyle name="Input 4 2 2 6" xfId="2189" xr:uid="{F2DDF198-5B3B-4363-8CA7-9E03B88AE9D1}"/>
    <cellStyle name="Input 4 2 2 7" xfId="2231" xr:uid="{07770E85-5545-4E9B-B42F-56F8EEBEE32B}"/>
    <cellStyle name="Input 4 2 2 8" xfId="2326" xr:uid="{1C90C047-FEC0-4745-95B7-FE461BBD0163}"/>
    <cellStyle name="Input 4 2 2 9" xfId="2420" xr:uid="{0F6B6AE6-EFBF-4FA9-A573-5230862D9CB9}"/>
    <cellStyle name="Input 4 2 3" xfId="861" xr:uid="{CF2F29DF-6963-452B-9BCD-AEC6320C9028}"/>
    <cellStyle name="Input 4 2 3 2" xfId="1189" xr:uid="{509E8AA2-5680-4D5B-AA86-52568757A69D}"/>
    <cellStyle name="Input 4 2 3 3" xfId="1347" xr:uid="{C0E9BCE2-06E8-42D0-ACFC-228BB18E0E39}"/>
    <cellStyle name="Input 4 2 4" xfId="975" xr:uid="{BAEDC9B0-32AD-4A0E-99D0-FDD399910C6F}"/>
    <cellStyle name="Input 4 2 4 2" xfId="1438" xr:uid="{11D52E42-B58B-4240-9E04-A8A65EF72AD7}"/>
    <cellStyle name="Input 4 2 5" xfId="1582" xr:uid="{CFF84D02-5633-4EDA-BBCD-0F6F8F179643}"/>
    <cellStyle name="Input 4 2 6" xfId="1763" xr:uid="{E4D66091-C505-4926-B2ED-C3FF84B0DCB4}"/>
    <cellStyle name="Input 4 2 7" xfId="2090" xr:uid="{CEF3F9C3-209E-4407-B1DC-37A54F5F0670}"/>
    <cellStyle name="Input 4 2 8" xfId="1883" xr:uid="{0F1738CB-29F7-48A4-BCFA-8DC1DCA7125C}"/>
    <cellStyle name="Input 4 2 9" xfId="1939" xr:uid="{36C5C3E9-6822-4955-8A3C-57D00CE51A4F}"/>
    <cellStyle name="Input 4 3" xfId="724" xr:uid="{00000000-0005-0000-0000-000026020000}"/>
    <cellStyle name="Input 4 3 2" xfId="905" xr:uid="{D4FB5081-D8C4-490E-9EA6-8D35EF36AF78}"/>
    <cellStyle name="Input 4 3 2 2" xfId="1232" xr:uid="{BCE0470C-7B5A-46C1-8C77-155D91331DF9}"/>
    <cellStyle name="Input 4 3 2 3" xfId="1386" xr:uid="{C555DA85-1A15-4B44-9FBF-2FCBB883EBC3}"/>
    <cellStyle name="Input 4 3 3" xfId="1015" xr:uid="{AAAD7706-1477-4391-8BA7-AEC5C9C42AEF}"/>
    <cellStyle name="Input 4 3 3 2" xfId="1477" xr:uid="{DD706C9E-D827-444B-A2D8-60062008AA93}"/>
    <cellStyle name="Input 4 3 4" xfId="1677" xr:uid="{A618A561-7355-47D1-BBF6-B491C58573B7}"/>
    <cellStyle name="Input 4 3 5" xfId="1806" xr:uid="{BC1F3A6C-6A36-41E9-9906-7843815C83DA}"/>
    <cellStyle name="Input 4 3 6" xfId="2168" xr:uid="{5728B4BA-E249-4C14-AA69-D849E5167FC7}"/>
    <cellStyle name="Input 4 3 7" xfId="1907" xr:uid="{3B02D149-3E82-4F20-A8BD-08BBC27851FD}"/>
    <cellStyle name="Input 4 3 8" xfId="2301" xr:uid="{1FB28437-D3CB-4933-9B8D-9E1E625561C6}"/>
    <cellStyle name="Input 4 3 9" xfId="2395" xr:uid="{5D117A8F-2445-4983-9B6E-4E19AE6F4B6D}"/>
    <cellStyle name="Input 4 4" xfId="822" xr:uid="{8CA75617-1373-4004-B1FC-52C7CDEA07B3}"/>
    <cellStyle name="Input 4 4 2" xfId="1151" xr:uid="{85312EEB-89DA-4544-9F14-8C7766F41A4E}"/>
    <cellStyle name="Input 4 4 3" xfId="1055" xr:uid="{B99FC09C-B23A-4B90-83E1-D1A86CCA6757}"/>
    <cellStyle name="Input 4 5" xfId="801" xr:uid="{14907090-86F3-46FF-8409-A27CD525F802}"/>
    <cellStyle name="Input 4 5 2" xfId="1134" xr:uid="{673803B0-D05A-4A19-8B04-B54D7047D981}"/>
    <cellStyle name="Input 4 5 3" xfId="1070" xr:uid="{709C6912-DA85-4B4A-88E3-ECA497EC9948}"/>
    <cellStyle name="Input 4 6" xfId="1625" xr:uid="{B5C0D55C-95D3-4A1D-81AC-D8D5D1654440}"/>
    <cellStyle name="Input 4 7" xfId="1611" xr:uid="{A1FF9DC5-9712-4563-8211-70ED441EE27F}"/>
    <cellStyle name="Input 4 8" xfId="1730" xr:uid="{69EEF12A-4F02-48BC-8C95-2D85114E2191}"/>
    <cellStyle name="Input 4 9" xfId="2012" xr:uid="{B0E506FA-8D80-4FA3-96E0-690D75669EDB}"/>
    <cellStyle name="Linked Cell 2" xfId="46" xr:uid="{00000000-0005-0000-0000-000027020000}"/>
    <cellStyle name="Linked Cell 2 2" xfId="525" xr:uid="{00000000-0005-0000-0000-000028020000}"/>
    <cellStyle name="Linked Cell 2 3" xfId="526" xr:uid="{00000000-0005-0000-0000-000029020000}"/>
    <cellStyle name="Linked Cell 3" xfId="527" xr:uid="{00000000-0005-0000-0000-00002A020000}"/>
    <cellStyle name="Model" xfId="528" xr:uid="{00000000-0005-0000-0000-00002B020000}"/>
    <cellStyle name="Neutral 2" xfId="47" xr:uid="{00000000-0005-0000-0000-00002C020000}"/>
    <cellStyle name="Neutral 2 2" xfId="529" xr:uid="{00000000-0005-0000-0000-00002D020000}"/>
    <cellStyle name="Neutral 2 3" xfId="530" xr:uid="{00000000-0005-0000-0000-00002E020000}"/>
    <cellStyle name="Neutral 3" xfId="531" xr:uid="{00000000-0005-0000-0000-00002F020000}"/>
    <cellStyle name="Normal" xfId="0" builtinId="0"/>
    <cellStyle name="Normal - Style1" xfId="532" xr:uid="{00000000-0005-0000-0000-000031020000}"/>
    <cellStyle name="Normal - Style1 2" xfId="533" xr:uid="{00000000-0005-0000-0000-000032020000}"/>
    <cellStyle name="Normal - Style1 3" xfId="534" xr:uid="{00000000-0005-0000-0000-000033020000}"/>
    <cellStyle name="Normal 10" xfId="535" xr:uid="{00000000-0005-0000-0000-000034020000}"/>
    <cellStyle name="Normal 10 2" xfId="536" xr:uid="{00000000-0005-0000-0000-000035020000}"/>
    <cellStyle name="Normal 11" xfId="61" xr:uid="{00000000-0005-0000-0000-000036020000}"/>
    <cellStyle name="Normal 12" xfId="1538" xr:uid="{6C012C31-BCED-4B64-B836-DD0CD18D9457}"/>
    <cellStyle name="Normal 12 2" xfId="1676" xr:uid="{4431D71C-E17F-4D88-B1B2-854C4543C48E}"/>
    <cellStyle name="Normal 13" xfId="2134" xr:uid="{4EDD6530-784F-4944-B33E-6DC9156EE6A1}"/>
    <cellStyle name="Normal 13 2" xfId="2136" xr:uid="{C3DFB54B-2EB4-463E-8496-51E1406FCD16}"/>
    <cellStyle name="Normal 2" xfId="48" xr:uid="{00000000-0005-0000-0000-000037020000}"/>
    <cellStyle name="Normal 2 2" xfId="49" xr:uid="{00000000-0005-0000-0000-000038020000}"/>
    <cellStyle name="Normal 2 2 2" xfId="537" xr:uid="{00000000-0005-0000-0000-000039020000}"/>
    <cellStyle name="Normal 2 2 2 2" xfId="538" xr:uid="{00000000-0005-0000-0000-00003A020000}"/>
    <cellStyle name="Normal 2 2 3" xfId="539" xr:uid="{00000000-0005-0000-0000-00003B020000}"/>
    <cellStyle name="Normal 2 3" xfId="63" xr:uid="{00000000-0005-0000-0000-00003C020000}"/>
    <cellStyle name="Normal 2 4" xfId="540" xr:uid="{00000000-0005-0000-0000-00003D020000}"/>
    <cellStyle name="Normal 2 5" xfId="541" xr:uid="{00000000-0005-0000-0000-00003E020000}"/>
    <cellStyle name="Normal 2_01. Weekly report - Engineering Section 01 Jan - 4 Jan 2013" xfId="542" xr:uid="{00000000-0005-0000-0000-00003F020000}"/>
    <cellStyle name="Normal 25" xfId="780" xr:uid="{00000000-0005-0000-0000-000040020000}"/>
    <cellStyle name="Normal 3" xfId="50" xr:uid="{00000000-0005-0000-0000-000041020000}"/>
    <cellStyle name="Normal 3 2" xfId="543" xr:uid="{00000000-0005-0000-0000-000042020000}"/>
    <cellStyle name="Normal 3 6" xfId="544" xr:uid="{00000000-0005-0000-0000-000043020000}"/>
    <cellStyle name="Normal 3 6 2" xfId="545" xr:uid="{00000000-0005-0000-0000-000044020000}"/>
    <cellStyle name="Normal 4" xfId="51" xr:uid="{00000000-0005-0000-0000-000045020000}"/>
    <cellStyle name="Normal 4 10" xfId="1718" xr:uid="{8ABF601A-BE3D-4D71-A22E-B16C87F70B48}"/>
    <cellStyle name="Normal 4 11" xfId="1864" xr:uid="{46C2CDE7-1C79-4274-8921-CDABEB7FDD99}"/>
    <cellStyle name="Normal 4 2" xfId="546" xr:uid="{00000000-0005-0000-0000-000046020000}"/>
    <cellStyle name="Normal 4 2 10" xfId="2017" xr:uid="{4AD10B71-A401-4F42-98D9-77A25BC8C100}"/>
    <cellStyle name="Normal 4 2 2" xfId="681" xr:uid="{00000000-0005-0000-0000-000047020000}"/>
    <cellStyle name="Normal 4 2 2 2" xfId="749" xr:uid="{00000000-0005-0000-0000-000048020000}"/>
    <cellStyle name="Normal 4 2 2 2 2" xfId="930" xr:uid="{695118C6-9910-45C8-8B1D-B38272CE1817}"/>
    <cellStyle name="Normal 4 2 2 2 2 2" xfId="1254" xr:uid="{D240793C-0A5F-4D49-ACB3-EAE4C2B08873}"/>
    <cellStyle name="Normal 4 2 2 2 3" xfId="1103" xr:uid="{E7FD8852-2D2F-42CF-931A-79960E2A5FAE}"/>
    <cellStyle name="Normal 4 2 2 2 4" xfId="1528" xr:uid="{D235B46D-D6B4-4A0E-97BC-6C8C42D32292}"/>
    <cellStyle name="Normal 4 2 2 2 5" xfId="1658" xr:uid="{C66BDE5D-08A9-43B2-B76B-7F12C65DB028}"/>
    <cellStyle name="Normal 4 2 2 2 6" xfId="1828" xr:uid="{A3BFB419-6859-481B-B3AA-8BB2603CAD14}"/>
    <cellStyle name="Normal 4 2 2 2 7" xfId="2117" xr:uid="{B3553722-62E3-4CBB-92D6-AECF12C00903}"/>
    <cellStyle name="Normal 4 2 2 3" xfId="776" xr:uid="{00000000-0005-0000-0000-000049020000}"/>
    <cellStyle name="Normal 4 2 2 3 2" xfId="957" xr:uid="{A447242D-9511-4A44-9E77-5BB4A75B02EE}"/>
    <cellStyle name="Normal 4 2 2 3 2 2" xfId="1279" xr:uid="{F3DD2D8C-1249-4578-8D01-EE05468C9940}"/>
    <cellStyle name="Normal 4 2 2 3 3" xfId="1113" xr:uid="{F780DF71-16BC-47C5-949B-6F3E6E68AF4A}"/>
    <cellStyle name="Normal 4 2 2 3 4" xfId="1536" xr:uid="{75113136-5385-42B4-B637-05E0EC5E4B95}"/>
    <cellStyle name="Normal 4 2 2 3 5" xfId="1674" xr:uid="{C588EAA2-B911-49BE-8599-C9033A9BD407}"/>
    <cellStyle name="Normal 4 2 2 3 6" xfId="1855" xr:uid="{F5E4542A-3AB9-425E-9A47-8F66C485FA64}"/>
    <cellStyle name="Normal 4 2 2 3 7" xfId="2131" xr:uid="{BA217F0B-0781-4239-8C59-11BE43C8F0BC}"/>
    <cellStyle name="Normal 4 2 2 4" xfId="862" xr:uid="{E2432C93-91CA-4D3D-A7BC-C839C416192B}"/>
    <cellStyle name="Normal 4 2 2 4 2" xfId="1190" xr:uid="{4F702465-27A3-490D-83B1-2835A0FF4E31}"/>
    <cellStyle name="Normal 4 2 2 5" xfId="1092" xr:uid="{ACCB70C6-9139-4DFB-BE08-0E686470954D}"/>
    <cellStyle name="Normal 4 2 2 6" xfId="1520" xr:uid="{77929FD2-A02C-46C7-891E-167A8F7489F7}"/>
    <cellStyle name="Normal 4 2 2 7" xfId="1641" xr:uid="{31511931-6918-45D8-8B11-4536B3E2FBF3}"/>
    <cellStyle name="Normal 4 2 2 8" xfId="1764" xr:uid="{F0AE49F7-DD04-404B-BFE0-8465125E2910}"/>
    <cellStyle name="Normal 4 2 2 9" xfId="2091" xr:uid="{2E45233E-DBD6-4851-8DE1-7AE72A0FA1D7}"/>
    <cellStyle name="Normal 4 2 3" xfId="735" xr:uid="{00000000-0005-0000-0000-00004A020000}"/>
    <cellStyle name="Normal 4 2 3 2" xfId="916" xr:uid="{ECFA7378-AF45-41EC-A8AB-BEBF6FD0FE8B}"/>
    <cellStyle name="Normal 4 2 3 2 2" xfId="1241" xr:uid="{D1847DBF-BCF5-4307-8977-01A48B7BE3C8}"/>
    <cellStyle name="Normal 4 2 3 3" xfId="1095" xr:uid="{FBAD01D6-21A5-48D9-A2B7-CF2C7A69DC6F}"/>
    <cellStyle name="Normal 4 2 3 4" xfId="1525" xr:uid="{8B6F4326-DB90-416E-BBA8-6E45E58BF61B}"/>
    <cellStyle name="Normal 4 2 3 5" xfId="1653" xr:uid="{421C9E94-A6AA-41CC-AA33-B21086DE58D7}"/>
    <cellStyle name="Normal 4 2 3 6" xfId="1815" xr:uid="{A5C7BA81-9E3B-4426-AED2-266126255742}"/>
    <cellStyle name="Normal 4 2 3 7" xfId="2111" xr:uid="{F1118D5E-5167-4C92-994B-EF5C461EB71B}"/>
    <cellStyle name="Normal 4 2 4" xfId="772" xr:uid="{00000000-0005-0000-0000-00004B020000}"/>
    <cellStyle name="Normal 4 2 4 2" xfId="953" xr:uid="{6BE66DA7-3980-44EB-A79C-C2B1F21710A2}"/>
    <cellStyle name="Normal 4 2 4 2 2" xfId="1276" xr:uid="{180EA661-EA20-4221-8F8C-2F8ED854FFA6}"/>
    <cellStyle name="Normal 4 2 4 3" xfId="1110" xr:uid="{C044BAAD-F967-4F8B-B31A-C7114F1605B2}"/>
    <cellStyle name="Normal 4 2 4 4" xfId="1532" xr:uid="{EEF3C171-848D-4F9B-9FD5-5602DC2A22D1}"/>
    <cellStyle name="Normal 4 2 4 5" xfId="1670" xr:uid="{1D1ECE4B-742B-4EE8-AE0A-68E25FFFA327}"/>
    <cellStyle name="Normal 4 2 4 6" xfId="1851" xr:uid="{D6E3F4FB-96C7-4B8A-81F2-2A3B0938C700}"/>
    <cellStyle name="Normal 4 2 4 7" xfId="2128" xr:uid="{3BE74701-8199-428E-A35D-6AF4C619D13A}"/>
    <cellStyle name="Normal 4 2 5" xfId="823" xr:uid="{BC55302C-ED83-4BBB-A56C-6A9E3DE885ED}"/>
    <cellStyle name="Normal 4 2 5 2" xfId="1152" xr:uid="{677F26BA-E701-4739-A7C7-E5553BC510B7}"/>
    <cellStyle name="Normal 4 2 6" xfId="1089" xr:uid="{3B6351AD-8478-48BC-822D-6B5FE9C821F4}"/>
    <cellStyle name="Normal 4 2 7" xfId="1516" xr:uid="{1BFCDA9A-FB85-4024-8646-EB8D7B9010FB}"/>
    <cellStyle name="Normal 4 2 8" xfId="1626" xr:uid="{DF34AC90-BD8E-4160-BB04-FE60429294E0}"/>
    <cellStyle name="Normal 4 2 9" xfId="1731" xr:uid="{99E36B99-1FDB-42FE-B73D-DA07DE75DCDD}"/>
    <cellStyle name="Normal 4 3" xfId="667" xr:uid="{00000000-0005-0000-0000-00004C020000}"/>
    <cellStyle name="Normal 4 3 2" xfId="746" xr:uid="{00000000-0005-0000-0000-00004D020000}"/>
    <cellStyle name="Normal 4 3 2 2" xfId="927" xr:uid="{DFD65262-4FFA-4903-9050-F52E6709CEBE}"/>
    <cellStyle name="Normal 4 3 2 2 2" xfId="1252" xr:uid="{450C569D-48CA-43CD-9381-4EDA4604E1F8}"/>
    <cellStyle name="Normal 4 3 2 3" xfId="1101" xr:uid="{D26E2E88-A81C-4915-90EA-88C84D186C08}"/>
    <cellStyle name="Normal 4 3 2 4" xfId="1527" xr:uid="{9C11D37C-40A0-41D1-8630-FDAD1FF64F49}"/>
    <cellStyle name="Normal 4 3 2 5" xfId="1656" xr:uid="{89D4D78A-B183-41D7-AAA7-CA6B2249B2AC}"/>
    <cellStyle name="Normal 4 3 2 6" xfId="1826" xr:uid="{5E5815F7-9590-4ADD-B35C-B7BE9CB40096}"/>
    <cellStyle name="Normal 4 3 2 7" xfId="2114" xr:uid="{C2D570D2-5463-427E-8264-549A89B0EE1E}"/>
    <cellStyle name="Normal 4 3 3" xfId="774" xr:uid="{00000000-0005-0000-0000-00004E020000}"/>
    <cellStyle name="Normal 4 3 3 2" xfId="955" xr:uid="{E2937B90-3442-4493-A849-523678CEBB86}"/>
    <cellStyle name="Normal 4 3 3 2 2" xfId="1278" xr:uid="{6E10DC0F-F847-4A8C-9C3E-C96FDB75A363}"/>
    <cellStyle name="Normal 4 3 3 3" xfId="1112" xr:uid="{A71339FF-E7C0-41C8-9F5B-E43C4C51FAA7}"/>
    <cellStyle name="Normal 4 3 3 4" xfId="1534" xr:uid="{FFEB89A6-BE45-4858-A2E0-480849B6DD5E}"/>
    <cellStyle name="Normal 4 3 3 5" xfId="1672" xr:uid="{8B89E853-0C07-4800-B1E3-4BB3DCBAEE17}"/>
    <cellStyle name="Normal 4 3 3 6" xfId="1853" xr:uid="{E7B4B980-61EF-4464-8A40-C5D2997C1788}"/>
    <cellStyle name="Normal 4 3 3 7" xfId="2130" xr:uid="{A7BD0F24-63C4-454D-8D8A-B547B01611F9}"/>
    <cellStyle name="Normal 4 3 4" xfId="848" xr:uid="{49B113BA-D57E-4420-8A59-1C501754FC07}"/>
    <cellStyle name="Normal 4 3 4 2" xfId="1177" xr:uid="{76FCF3B0-1BC2-4FE1-A4AB-3C6004278FEC}"/>
    <cellStyle name="Normal 4 3 5" xfId="1091" xr:uid="{B159872C-2DC2-4C98-B331-261BC277BB53}"/>
    <cellStyle name="Normal 4 3 6" xfId="1518" xr:uid="{743426C1-1429-4606-BDCB-C9CB3F939F82}"/>
    <cellStyle name="Normal 4 3 7" xfId="1639" xr:uid="{E74D249F-FC60-4F0E-9B2D-EF9904E1C698}"/>
    <cellStyle name="Normal 4 3 8" xfId="1751" xr:uid="{7C5C4F97-4CC7-48F1-A4D1-0CDB47FBC7DA}"/>
    <cellStyle name="Normal 4 3 9" xfId="2078" xr:uid="{7B3B9267-CEB3-44B4-8D8A-9999DE53AE1E}"/>
    <cellStyle name="Normal 4 4" xfId="695" xr:uid="{00000000-0005-0000-0000-00004F020000}"/>
    <cellStyle name="Normal 4 4 2" xfId="876" xr:uid="{0FD78143-C7D3-4251-8E8B-E2AD012AB96B}"/>
    <cellStyle name="Normal 4 4 2 2" xfId="1204" xr:uid="{E2087A5E-9B6C-47B2-A809-60EDE8A3C4A5}"/>
    <cellStyle name="Normal 4 4 3" xfId="1094" xr:uid="{4A9C7CD5-9666-4EB7-AC37-1041D44803D1}"/>
    <cellStyle name="Normal 4 4 4" xfId="1522" xr:uid="{5BC484D7-4D3E-4C48-9870-492554A1EACD}"/>
    <cellStyle name="Normal 4 4 5" xfId="1647" xr:uid="{8608D237-DB55-4A34-AEF5-51671E3F20EA}"/>
    <cellStyle name="Normal 4 4 6" xfId="1778" xr:uid="{40399B51-CB08-4DDB-98D3-D90E5886EF4B}"/>
    <cellStyle name="Normal 4 4 7" xfId="2105" xr:uid="{B77D2D5D-3C15-4C8E-986A-AF81C1AFC249}"/>
    <cellStyle name="Normal 4 5" xfId="770" xr:uid="{00000000-0005-0000-0000-000050020000}"/>
    <cellStyle name="Normal 4 5 2" xfId="951" xr:uid="{DC6A0B7F-A819-42DC-8207-050E77282A8A}"/>
    <cellStyle name="Normal 4 5 2 2" xfId="1275" xr:uid="{1288F612-BB1B-4CAC-B51B-3DCC2A8E4514}"/>
    <cellStyle name="Normal 4 5 3" xfId="1109" xr:uid="{52DB55BE-6685-423E-9A8D-FCF527DF5708}"/>
    <cellStyle name="Normal 4 5 4" xfId="1530" xr:uid="{FF23826B-5875-4E41-B43E-19E3EC0DC690}"/>
    <cellStyle name="Normal 4 5 5" xfId="1668" xr:uid="{1A5C244C-CEF0-44BD-B49A-86ADB5A8E961}"/>
    <cellStyle name="Normal 4 5 6" xfId="1849" xr:uid="{566613B9-8560-4AB8-90ED-E93D59AC2508}"/>
    <cellStyle name="Normal 4 5 7" xfId="2127" xr:uid="{8308DCDB-408A-457C-B1F7-F752CE629763}"/>
    <cellStyle name="Normal 4 6" xfId="784" xr:uid="{F3489527-D275-4EA0-8F2F-161392787D57}"/>
    <cellStyle name="Normal 4 6 2" xfId="1117" xr:uid="{A3B05429-E568-4B20-81DE-8EAA0D0B0E01}"/>
    <cellStyle name="Normal 4 7" xfId="1053" xr:uid="{02A44870-9537-4E07-B41C-F12081E82643}"/>
    <cellStyle name="Normal 4 8" xfId="1514" xr:uid="{7CF657D5-1AD6-471C-9424-8A823BD4A777}"/>
    <cellStyle name="Normal 4 9" xfId="1542" xr:uid="{EA6A7785-6EA4-48D4-9D7E-2A22FEB867D8}"/>
    <cellStyle name="Normal 5" xfId="547" xr:uid="{00000000-0005-0000-0000-000051020000}"/>
    <cellStyle name="Normal 6" xfId="548" xr:uid="{00000000-0005-0000-0000-000052020000}"/>
    <cellStyle name="Normal 6 2" xfId="549" xr:uid="{00000000-0005-0000-0000-000053020000}"/>
    <cellStyle name="Normal 6 2 10" xfId="2019" xr:uid="{F26109A2-A8B6-4707-81E8-1CF3EB0497AD}"/>
    <cellStyle name="Normal 6 2 2" xfId="682" xr:uid="{00000000-0005-0000-0000-000054020000}"/>
    <cellStyle name="Normal 6 2 2 2" xfId="750" xr:uid="{00000000-0005-0000-0000-000055020000}"/>
    <cellStyle name="Normal 6 2 2 2 2" xfId="931" xr:uid="{84BEC2A9-7C7F-45FC-9276-ABCC8190B4D1}"/>
    <cellStyle name="Normal 6 2 2 2 2 2" xfId="1255" xr:uid="{4BA79A68-670A-42B7-A403-8D2820ECA936}"/>
    <cellStyle name="Normal 6 2 2 2 3" xfId="1104" xr:uid="{48A29587-5964-4EE5-809C-0DBCDB82400A}"/>
    <cellStyle name="Normal 6 2 2 2 4" xfId="1529" xr:uid="{30E17F68-3957-4C43-AD16-135B2FE43ECF}"/>
    <cellStyle name="Normal 6 2 2 2 5" xfId="1659" xr:uid="{97A06942-0E22-45AE-B125-F7657E10888B}"/>
    <cellStyle name="Normal 6 2 2 2 6" xfId="1829" xr:uid="{A2F084DD-DE77-4CF2-84FF-DB8F1C6FA944}"/>
    <cellStyle name="Normal 6 2 2 2 7" xfId="2118" xr:uid="{E6E7DF15-6925-4F22-B629-CF49870D3593}"/>
    <cellStyle name="Normal 6 2 2 3" xfId="777" xr:uid="{00000000-0005-0000-0000-000056020000}"/>
    <cellStyle name="Normal 6 2 2 3 2" xfId="958" xr:uid="{3E819503-13C8-42F2-867D-5E9376C45613}"/>
    <cellStyle name="Normal 6 2 2 3 2 2" xfId="1280" xr:uid="{A3C13E4D-2A83-41D7-867D-7516C5898FA2}"/>
    <cellStyle name="Normal 6 2 2 3 3" xfId="1114" xr:uid="{51BD1BEA-3487-495F-A9D6-E138E6A0F5F2}"/>
    <cellStyle name="Normal 6 2 2 3 4" xfId="1537" xr:uid="{1AE2259A-6D0A-4540-ABD8-267E1CC947FC}"/>
    <cellStyle name="Normal 6 2 2 3 5" xfId="1675" xr:uid="{E56C2AEB-D899-4B10-B25E-6B57DD342805}"/>
    <cellStyle name="Normal 6 2 2 3 6" xfId="1856" xr:uid="{A7BF2905-B609-4C2A-BB5F-F79E2CD0DF57}"/>
    <cellStyle name="Normal 6 2 2 3 7" xfId="2132" xr:uid="{72D33885-1383-41E6-BCC9-18DA29594FEB}"/>
    <cellStyle name="Normal 6 2 2 4" xfId="863" xr:uid="{87E86581-E72F-4BD0-B368-811C168C2DC8}"/>
    <cellStyle name="Normal 6 2 2 4 2" xfId="1191" xr:uid="{D6D1BEA5-C1F7-4850-BB0D-45B6A2BDD087}"/>
    <cellStyle name="Normal 6 2 2 5" xfId="1093" xr:uid="{B5F5FEFB-511D-45C2-9582-F417A876ED4D}"/>
    <cellStyle name="Normal 6 2 2 6" xfId="1521" xr:uid="{40698FE4-6442-4306-A38D-15AD323FB6CC}"/>
    <cellStyle name="Normal 6 2 2 7" xfId="1642" xr:uid="{3E8C3D95-A2AB-413E-8C5E-AFD83DF66FB6}"/>
    <cellStyle name="Normal 6 2 2 8" xfId="1765" xr:uid="{13E1BCF5-A6FC-4134-8E35-C22B1BA6A1DE}"/>
    <cellStyle name="Normal 6 2 2 9" xfId="2092" xr:uid="{A76FD338-5A22-4C86-B1C2-92BBB1FDC16F}"/>
    <cellStyle name="Normal 6 2 3" xfId="736" xr:uid="{00000000-0005-0000-0000-000057020000}"/>
    <cellStyle name="Normal 6 2 3 2" xfId="917" xr:uid="{A2838C66-16DE-47AD-A99D-F4669B719029}"/>
    <cellStyle name="Normal 6 2 3 2 2" xfId="1242" xr:uid="{5DFAB9F1-9C3B-4380-AE9E-7E2010FE04A2}"/>
    <cellStyle name="Normal 6 2 3 3" xfId="1096" xr:uid="{D7042DDD-C314-4B51-A8B1-725FDEF907EE}"/>
    <cellStyle name="Normal 6 2 3 4" xfId="1526" xr:uid="{FBD6F976-7B0E-468C-BF4B-3898BEE97682}"/>
    <cellStyle name="Normal 6 2 3 5" xfId="1654" xr:uid="{7D0F1919-5C82-4876-8152-883A361DDBFA}"/>
    <cellStyle name="Normal 6 2 3 6" xfId="1816" xr:uid="{37CD9FE4-7762-4B92-A673-91585F38C455}"/>
    <cellStyle name="Normal 6 2 3 7" xfId="2112" xr:uid="{979BC7A5-EEAA-4F16-97E8-B2D19303B8DA}"/>
    <cellStyle name="Normal 6 2 4" xfId="773" xr:uid="{00000000-0005-0000-0000-000058020000}"/>
    <cellStyle name="Normal 6 2 4 2" xfId="954" xr:uid="{9E52E448-66EF-4BF5-8B6F-F1C45092F82D}"/>
    <cellStyle name="Normal 6 2 4 2 2" xfId="1277" xr:uid="{24240F40-2599-4CC2-ABC0-28E65AEED7A3}"/>
    <cellStyle name="Normal 6 2 4 3" xfId="1111" xr:uid="{F9262877-22B3-4CAD-B06A-E8555BDDB4BB}"/>
    <cellStyle name="Normal 6 2 4 4" xfId="1533" xr:uid="{76B19CF0-2B5C-49CD-9777-9945199D1F76}"/>
    <cellStyle name="Normal 6 2 4 5" xfId="1671" xr:uid="{74B0A2A3-A008-4EC8-B010-2AEFCE1230C2}"/>
    <cellStyle name="Normal 6 2 4 6" xfId="1852" xr:uid="{5195B503-E88D-4B44-B1C4-882323468326}"/>
    <cellStyle name="Normal 6 2 4 7" xfId="2129" xr:uid="{FEC60589-AE1E-4433-A64E-490F870DC28B}"/>
    <cellStyle name="Normal 6 2 5" xfId="824" xr:uid="{81832193-4322-4F9F-92DD-87F9FC753AA4}"/>
    <cellStyle name="Normal 6 2 5 2" xfId="1153" xr:uid="{B43005A2-09BF-40FF-828A-FDBC0C805608}"/>
    <cellStyle name="Normal 6 2 6" xfId="1090" xr:uid="{CB2CE51E-81B8-4939-89FC-BD880DA68CB9}"/>
    <cellStyle name="Normal 6 2 7" xfId="1517" xr:uid="{194175E7-67B5-414B-99E3-2F5F71AE83DD}"/>
    <cellStyle name="Normal 6 2 8" xfId="1627" xr:uid="{74358BC2-E364-4DAB-8991-ED24C9425E94}"/>
    <cellStyle name="Normal 6 2 9" xfId="1732" xr:uid="{BEB95CDE-D68D-4EB2-BF83-B0A8B968BDD4}"/>
    <cellStyle name="Normal 7" xfId="550" xr:uid="{00000000-0005-0000-0000-000059020000}"/>
    <cellStyle name="Normal 7 2" xfId="551" xr:uid="{00000000-0005-0000-0000-00005A020000}"/>
    <cellStyle name="Normal 8" xfId="552" xr:uid="{00000000-0005-0000-0000-00005B020000}"/>
    <cellStyle name="Normal 9" xfId="553" xr:uid="{00000000-0005-0000-0000-00005C020000}"/>
    <cellStyle name="Normal_Plan Forecast April - December 2008" xfId="60" xr:uid="{00000000-0005-0000-0000-00005D020000}"/>
    <cellStyle name="Note 2" xfId="52" xr:uid="{00000000-0005-0000-0000-00005E020000}"/>
    <cellStyle name="Note 2 10" xfId="1719" xr:uid="{080FAF68-8E4C-4CE9-BDE7-4D29FA91A713}"/>
    <cellStyle name="Note 2 11" xfId="1865" xr:uid="{34FD9DE7-CA5B-46B5-81C7-4D5AE77FCD1C}"/>
    <cellStyle name="Note 2 12" xfId="2060" xr:uid="{EE49D4EF-41C6-4B53-B42D-4863659FA87F}"/>
    <cellStyle name="Note 2 13" xfId="2014" xr:uid="{8EEA4B0B-521E-4B2C-9DC5-C26BB27C3356}"/>
    <cellStyle name="Note 2 14" xfId="2061" xr:uid="{4377FAEF-C2A6-489E-83CA-CAF7120D94E6}"/>
    <cellStyle name="Note 2 15" xfId="2113" xr:uid="{26FEFF2D-03E8-4400-B744-844A0E4637C7}"/>
    <cellStyle name="Note 2 2" xfId="554" xr:uid="{00000000-0005-0000-0000-00005F020000}"/>
    <cellStyle name="Note 2 2 10" xfId="1953" xr:uid="{512F4401-E72A-498A-AE44-FF72A5808C0A}"/>
    <cellStyle name="Note 2 2 11" xfId="2067" xr:uid="{661730F3-C274-444D-B096-05845ED3D5A6}"/>
    <cellStyle name="Note 2 2 12" xfId="1999" xr:uid="{DF45D25C-1FB5-492E-AAED-898B34B72737}"/>
    <cellStyle name="Note 2 2 13" xfId="1979" xr:uid="{23B080F3-DA69-486C-8655-16BFA34172AB}"/>
    <cellStyle name="Note 2 2 2" xfId="683" xr:uid="{00000000-0005-0000-0000-000060020000}"/>
    <cellStyle name="Note 2 2 2 10" xfId="1882" xr:uid="{F54109E2-158B-4F51-88BC-C0B473ACA2F4}"/>
    <cellStyle name="Note 2 2 2 11" xfId="1938" xr:uid="{D574023A-2B9D-4054-A6BF-854E5409AC4B}"/>
    <cellStyle name="Note 2 2 2 12" xfId="2262" xr:uid="{BC730FAE-83A5-48E2-8395-3BC2196EDE19}"/>
    <cellStyle name="Note 2 2 2 13" xfId="2356" xr:uid="{11858DD1-39C0-4884-A8EF-F070079E032D}"/>
    <cellStyle name="Note 2 2 2 2" xfId="751" xr:uid="{00000000-0005-0000-0000-000061020000}"/>
    <cellStyle name="Note 2 2 2 2 10" xfId="2225" xr:uid="{E83FE9C4-8736-47FD-AE7E-275B152B4169}"/>
    <cellStyle name="Note 2 2 2 2 11" xfId="2320" xr:uid="{58A0CD09-097C-4372-930F-C72C6415E02F}"/>
    <cellStyle name="Note 2 2 2 2 12" xfId="2414" xr:uid="{F3BDB8E0-D874-43B9-9F5D-980C50CCD850}"/>
    <cellStyle name="Note 2 2 2 2 2" xfId="932" xr:uid="{1C3BEBD1-B769-4FE5-ADBC-A560CEE5EE30}"/>
    <cellStyle name="Note 2 2 2 2 2 2" xfId="1256" xr:uid="{F6F2C464-BC7B-46B2-9673-0D428AE4ACFE}"/>
    <cellStyle name="Note 2 2 2 2 2 3" xfId="1404" xr:uid="{F7B7BC41-58F0-401B-9AD2-0CC699745766}"/>
    <cellStyle name="Note 2 2 2 2 3" xfId="1034" xr:uid="{19C86A69-5CB3-4F0E-9CC6-CBEA04EBDFA2}"/>
    <cellStyle name="Note 2 2 2 2 3 2" xfId="1306" xr:uid="{14FBAB0A-EEDA-4341-9011-F0C60C39A430}"/>
    <cellStyle name="Note 2 2 2 2 3 3" xfId="1495" xr:uid="{BE5407E6-75B7-4DF4-8883-936A861D869E}"/>
    <cellStyle name="Note 2 2 2 2 4" xfId="1105" xr:uid="{12A22472-DD57-4637-90B6-BA9BFCDBAF52}"/>
    <cellStyle name="Note 2 2 2 2 5" xfId="1660" xr:uid="{E7B10130-2B97-49CD-9215-E6BC919F10FB}"/>
    <cellStyle name="Note 2 2 2 2 6" xfId="1695" xr:uid="{3C1E3A97-886D-4AE4-9646-B75FAE497843}"/>
    <cellStyle name="Note 2 2 2 2 7" xfId="1830" xr:uid="{E5DD331C-1C00-45D4-B9D9-8583D5ED9459}"/>
    <cellStyle name="Note 2 2 2 2 8" xfId="2119" xr:uid="{C9D9F1DA-C8EE-4D6D-B303-F14814D083A5}"/>
    <cellStyle name="Note 2 2 2 2 9" xfId="2152" xr:uid="{48B9EB98-0AA5-452D-90DE-6E2E96A9E2DF}"/>
    <cellStyle name="Note 2 2 2 3" xfId="758" xr:uid="{00000000-0005-0000-0000-000062020000}"/>
    <cellStyle name="Note 2 2 2 3 10" xfId="2421" xr:uid="{F29E4468-71F2-40A0-AC26-D771DD847A8A}"/>
    <cellStyle name="Note 2 2 2 3 2" xfId="939" xr:uid="{CA1C59DD-5406-495C-A673-7B3F06BDE468}"/>
    <cellStyle name="Note 2 2 2 3 2 2" xfId="1263" xr:uid="{9A2FB39F-7FDA-4A83-B4BB-2D688CD4DC97}"/>
    <cellStyle name="Note 2 2 2 3 2 3" xfId="1411" xr:uid="{F00083A9-F50F-4C1B-875E-3D0C43FCF4CC}"/>
    <cellStyle name="Note 2 2 2 3 3" xfId="1041" xr:uid="{E5628745-A9CA-4651-A21B-F297A4B0CB83}"/>
    <cellStyle name="Note 2 2 2 3 3 2" xfId="1502" xr:uid="{6658AAAA-DBE0-4F4B-94B2-47DC8A889B39}"/>
    <cellStyle name="Note 2 2 2 3 4" xfId="1664" xr:uid="{8EEC371C-7332-44CC-B1FA-9D6A498529BF}"/>
    <cellStyle name="Note 2 2 2 3 5" xfId="1702" xr:uid="{5C8F4748-7446-45F9-98D4-120AAC1DD694}"/>
    <cellStyle name="Note 2 2 2 3 6" xfId="1837" xr:uid="{3EA77908-9CC8-48FF-85E8-9A4B56DC7FA0}"/>
    <cellStyle name="Note 2 2 2 3 7" xfId="2190" xr:uid="{566503FE-EE14-4E27-845F-B71F10ADEF9E}"/>
    <cellStyle name="Note 2 2 2 3 8" xfId="2232" xr:uid="{CF983CE4-BCD9-4909-AEC9-694E889A3D43}"/>
    <cellStyle name="Note 2 2 2 3 9" xfId="2327" xr:uid="{DE39CEA4-28BA-4CBB-ABED-0DDA9DB3CB88}"/>
    <cellStyle name="Note 2 2 2 4" xfId="864" xr:uid="{CFE6B5F9-62E8-47C6-BB6C-02DDFF18EF8F}"/>
    <cellStyle name="Note 2 2 2 4 2" xfId="1192" xr:uid="{79E09B78-B5EB-4733-8BD8-21051CFE4C62}"/>
    <cellStyle name="Note 2 2 2 4 3" xfId="1348" xr:uid="{D400903E-7399-4CB3-A74B-5F8FCAE6749B}"/>
    <cellStyle name="Note 2 2 2 5" xfId="976" xr:uid="{5930C889-D12E-475D-90D9-0772451FB577}"/>
    <cellStyle name="Note 2 2 2 5 2" xfId="1439" xr:uid="{9D8056F9-6B15-4B9A-8680-E43803474B85}"/>
    <cellStyle name="Note 2 2 2 6" xfId="1643" xr:uid="{98AEA526-E001-47C9-BCF2-2D0DCCD8FB86}"/>
    <cellStyle name="Note 2 2 2 7" xfId="1581" xr:uid="{F4EE4CD5-9BB2-42C9-BB6B-6FAAAD2FFDDF}"/>
    <cellStyle name="Note 2 2 2 8" xfId="1766" xr:uid="{7CBF8477-8058-463D-956A-68DE8CD49C79}"/>
    <cellStyle name="Note 2 2 2 9" xfId="2093" xr:uid="{C0AB0EB8-B9D8-46FF-A178-07CAC6E32939}"/>
    <cellStyle name="Note 2 2 3" xfId="723" xr:uid="{00000000-0005-0000-0000-000063020000}"/>
    <cellStyle name="Note 2 2 3 10" xfId="2394" xr:uid="{F4E3EC3A-C524-42B9-9A9F-692051188B36}"/>
    <cellStyle name="Note 2 2 3 2" xfId="904" xr:uid="{B5EAEF01-D63B-4FBA-ABE8-CD2AF0659AB9}"/>
    <cellStyle name="Note 2 2 3 2 2" xfId="1231" xr:uid="{4A79D229-1124-42C5-9B93-CD53C4DC1CAF}"/>
    <cellStyle name="Note 2 2 3 2 3" xfId="1385" xr:uid="{A89582CD-B6B5-424A-8FAB-D14D8EEBF1A0}"/>
    <cellStyle name="Note 2 2 3 3" xfId="1014" xr:uid="{D30E83A6-367D-44F3-BF07-B7CB322BE14E}"/>
    <cellStyle name="Note 2 2 3 3 2" xfId="1476" xr:uid="{2AAFBA25-E621-4142-A134-2B2F73ADD8C3}"/>
    <cellStyle name="Note 2 2 3 4" xfId="1652" xr:uid="{149A1A28-FE2B-4198-A7F4-3F7919560A70}"/>
    <cellStyle name="Note 2 2 3 5" xfId="1544" xr:uid="{524604CA-87F1-41A6-8B84-65B107AB07AA}"/>
    <cellStyle name="Note 2 2 3 6" xfId="1805" xr:uid="{296A21D3-700A-4FA5-9710-C1832D739CD7}"/>
    <cellStyle name="Note 2 2 3 7" xfId="2167" xr:uid="{A0452BAF-54C6-46AC-B69E-B8A51D2E422C}"/>
    <cellStyle name="Note 2 2 3 8" xfId="1908" xr:uid="{48C44C08-C8D9-4C86-AED5-F13161C0C843}"/>
    <cellStyle name="Note 2 2 3 9" xfId="2300" xr:uid="{58481D87-D513-4836-BB63-9AFCA08886E1}"/>
    <cellStyle name="Note 2 2 4" xfId="825" xr:uid="{34816BE9-BFC3-43CA-922E-29E244C287C5}"/>
    <cellStyle name="Note 2 2 4 2" xfId="1154" xr:uid="{B503B755-D008-4999-AC48-468AE2A8DDFD}"/>
    <cellStyle name="Note 2 2 4 3" xfId="1054" xr:uid="{982F8621-4CCF-43ED-8723-6D268EAC952C}"/>
    <cellStyle name="Note 2 2 5" xfId="800" xr:uid="{984EBCBD-9E8E-4AD9-8A78-F41D04491A63}"/>
    <cellStyle name="Note 2 2 5 2" xfId="1133" xr:uid="{0625998D-A80A-4348-B78C-47689A5F276A}"/>
    <cellStyle name="Note 2 2 5 3" xfId="1071" xr:uid="{5059C091-66FE-4D60-B3E7-CA08148D2C8D}"/>
    <cellStyle name="Note 2 2 6" xfId="1628" xr:uid="{51FD11D1-D38A-426F-BEA4-ACB30A939245}"/>
    <cellStyle name="Note 2 2 7" xfId="1610" xr:uid="{B98A753A-6D91-4413-A996-11CBC0C3B3D8}"/>
    <cellStyle name="Note 2 2 8" xfId="1733" xr:uid="{CF9731A6-48B9-4642-997E-AFDDF20FA196}"/>
    <cellStyle name="Note 2 2 9" xfId="2021" xr:uid="{D4F3F640-4789-42FC-A97E-4F07319A009E}"/>
    <cellStyle name="Note 2 3" xfId="555" xr:uid="{00000000-0005-0000-0000-000064020000}"/>
    <cellStyle name="Note 2 3 10" xfId="1952" xr:uid="{CAADC54A-2A70-46E9-ACA3-869151F088CA}"/>
    <cellStyle name="Note 2 3 11" xfId="1968" xr:uid="{ADCC2849-AEB3-443F-99A4-2DA8B412CE20}"/>
    <cellStyle name="Note 2 3 12" xfId="1905" xr:uid="{92A3C7FC-84FB-46D7-A2CA-03EA3565D483}"/>
    <cellStyle name="Note 2 3 13" xfId="1978" xr:uid="{3BBFE2DA-5084-4B1C-AAC2-F8F89839723E}"/>
    <cellStyle name="Note 2 3 2" xfId="684" xr:uid="{00000000-0005-0000-0000-000065020000}"/>
    <cellStyle name="Note 2 3 2 10" xfId="1881" xr:uid="{4D9B8D2E-AC9B-4FED-BA3A-AC95BEA31974}"/>
    <cellStyle name="Note 2 3 2 11" xfId="1937" xr:uid="{181188ED-DDBD-4ED0-9FEA-8338B569EF6C}"/>
    <cellStyle name="Note 2 3 2 12" xfId="2263" xr:uid="{44B85025-C82E-4590-980C-FD3A07A89180}"/>
    <cellStyle name="Note 2 3 2 13" xfId="2357" xr:uid="{E5D9CCFC-49C4-4DF3-B60F-DE0560419B82}"/>
    <cellStyle name="Note 2 3 2 2" xfId="752" xr:uid="{00000000-0005-0000-0000-000066020000}"/>
    <cellStyle name="Note 2 3 2 2 10" xfId="2226" xr:uid="{8270625D-8043-499C-9246-47CBC11B2ABE}"/>
    <cellStyle name="Note 2 3 2 2 11" xfId="2321" xr:uid="{BFF32593-E5B8-4D12-A3EE-EA55DB8CF4BE}"/>
    <cellStyle name="Note 2 3 2 2 12" xfId="2415" xr:uid="{28ADD001-2085-4320-830D-2C71AE645439}"/>
    <cellStyle name="Note 2 3 2 2 2" xfId="933" xr:uid="{D64FA465-1DBF-4C04-AA0F-4749F65DFCE0}"/>
    <cellStyle name="Note 2 3 2 2 2 2" xfId="1257" xr:uid="{89492C17-3770-4FEA-969B-194B6EB30E59}"/>
    <cellStyle name="Note 2 3 2 2 2 3" xfId="1405" xr:uid="{FB4BFE3A-94D9-4E1A-8683-C94569B7E560}"/>
    <cellStyle name="Note 2 3 2 2 3" xfId="1035" xr:uid="{F418170F-0E39-41A3-988A-75AD9E702BB8}"/>
    <cellStyle name="Note 2 3 2 2 3 2" xfId="1307" xr:uid="{E98FA4A0-448A-43D8-B11B-B9EC0D9165C7}"/>
    <cellStyle name="Note 2 3 2 2 3 3" xfId="1496" xr:uid="{6F6F0A52-ED71-4EE9-BF1F-5A98711A9715}"/>
    <cellStyle name="Note 2 3 2 2 4" xfId="1106" xr:uid="{5DC66E41-3F67-46B5-AC53-551EEE15C335}"/>
    <cellStyle name="Note 2 3 2 2 5" xfId="1661" xr:uid="{CB8CFB01-8EA3-46FA-A1E3-04B69C2846A5}"/>
    <cellStyle name="Note 2 3 2 2 6" xfId="1696" xr:uid="{5A92CECE-9654-40C1-BA29-2E58EDE07C22}"/>
    <cellStyle name="Note 2 3 2 2 7" xfId="1831" xr:uid="{7809141B-6F43-4715-8A74-58A6A666FE96}"/>
    <cellStyle name="Note 2 3 2 2 8" xfId="2120" xr:uid="{AEDAFA41-CF74-4D8F-9993-7455FEE3575C}"/>
    <cellStyle name="Note 2 3 2 2 9" xfId="2153" xr:uid="{2C7B26DC-B39A-4B79-8FCD-D69EC377338D}"/>
    <cellStyle name="Note 2 3 2 3" xfId="759" xr:uid="{00000000-0005-0000-0000-000067020000}"/>
    <cellStyle name="Note 2 3 2 3 10" xfId="2422" xr:uid="{A1D980BE-6630-4A18-9738-FD3C31258DDE}"/>
    <cellStyle name="Note 2 3 2 3 2" xfId="940" xr:uid="{697DC32B-A873-4AF4-9E8C-6283B265C3C9}"/>
    <cellStyle name="Note 2 3 2 3 2 2" xfId="1264" xr:uid="{0BDF2834-97C1-4F0F-BDD9-CB6A054AEC5C}"/>
    <cellStyle name="Note 2 3 2 3 2 3" xfId="1412" xr:uid="{910147A3-B111-47FF-82D5-80795BE5D39B}"/>
    <cellStyle name="Note 2 3 2 3 3" xfId="1042" xr:uid="{8228C6F8-B290-46E0-A7C9-D6DF365AEA1B}"/>
    <cellStyle name="Note 2 3 2 3 3 2" xfId="1503" xr:uid="{B217F2D7-A4F0-4976-BAA9-7BBC77FBFBFC}"/>
    <cellStyle name="Note 2 3 2 3 4" xfId="1665" xr:uid="{03946221-2111-4138-8003-0FC82826A2D6}"/>
    <cellStyle name="Note 2 3 2 3 5" xfId="1703" xr:uid="{BBD72078-5B4F-49A9-AC46-D389A989D346}"/>
    <cellStyle name="Note 2 3 2 3 6" xfId="1838" xr:uid="{6726A6A0-07C8-44C4-BB1D-7117326F76E7}"/>
    <cellStyle name="Note 2 3 2 3 7" xfId="2191" xr:uid="{299C959D-61AD-4C96-9C89-9449F89DB377}"/>
    <cellStyle name="Note 2 3 2 3 8" xfId="2233" xr:uid="{772BF155-9C56-4A7D-B3D8-5DD1D0FEA16C}"/>
    <cellStyle name="Note 2 3 2 3 9" xfId="2328" xr:uid="{C02230E0-9B25-4652-8490-4326EC5EB8C1}"/>
    <cellStyle name="Note 2 3 2 4" xfId="865" xr:uid="{35843566-D7C4-45DC-96CD-8E62A8D6BE65}"/>
    <cellStyle name="Note 2 3 2 4 2" xfId="1193" xr:uid="{A9E20207-62AD-41EB-A4AE-07C4472C6606}"/>
    <cellStyle name="Note 2 3 2 4 3" xfId="1349" xr:uid="{9D965A91-9BB6-46AB-976C-4B6D8036AFDB}"/>
    <cellStyle name="Note 2 3 2 5" xfId="977" xr:uid="{E5F0A0D2-B818-4FB4-A7BE-CFABA4CD80FA}"/>
    <cellStyle name="Note 2 3 2 5 2" xfId="1440" xr:uid="{CA78311A-5CD0-43B0-9872-561A4E15E3F6}"/>
    <cellStyle name="Note 2 3 2 6" xfId="1644" xr:uid="{89EF22E1-DC10-4446-A759-F72A57D37033}"/>
    <cellStyle name="Note 2 3 2 7" xfId="1580" xr:uid="{EB5A2589-4561-46EF-A1E3-C7CDA7286E6D}"/>
    <cellStyle name="Note 2 3 2 8" xfId="1767" xr:uid="{7770DBB1-5D2C-435F-97AE-FE37982E54F9}"/>
    <cellStyle name="Note 2 3 2 9" xfId="2094" xr:uid="{99AB0ABE-80F3-4FE3-8169-D7A06BF786E2}"/>
    <cellStyle name="Note 2 3 3" xfId="722" xr:uid="{00000000-0005-0000-0000-000068020000}"/>
    <cellStyle name="Note 2 3 3 10" xfId="2393" xr:uid="{0C21DC48-D7A0-4EDD-BF30-B5C5A844FF6F}"/>
    <cellStyle name="Note 2 3 3 2" xfId="903" xr:uid="{A040058C-7145-49A5-B041-D91426437E47}"/>
    <cellStyle name="Note 2 3 3 2 2" xfId="1230" xr:uid="{79AF6F71-3C48-4ADD-AD52-5B40DF16652F}"/>
    <cellStyle name="Note 2 3 3 2 3" xfId="1384" xr:uid="{1E596CFC-2C05-43B2-8538-DAABC61B7CEB}"/>
    <cellStyle name="Note 2 3 3 3" xfId="1013" xr:uid="{B1A39E9E-D052-4036-B52E-A55F8F9366E9}"/>
    <cellStyle name="Note 2 3 3 3 2" xfId="1475" xr:uid="{1414A809-8974-40D0-BC52-645D7C489087}"/>
    <cellStyle name="Note 2 3 3 4" xfId="1651" xr:uid="{7AD99EE6-2EDE-484E-BD91-BDDD71AC2FEA}"/>
    <cellStyle name="Note 2 3 3 5" xfId="1545" xr:uid="{B6F48EE2-2B8A-4ACA-BC65-7D6D6EDD6712}"/>
    <cellStyle name="Note 2 3 3 6" xfId="1804" xr:uid="{2FA1DFE9-F900-43C8-A00A-7B5267F1B8CE}"/>
    <cellStyle name="Note 2 3 3 7" xfId="2166" xr:uid="{BE898CAD-1EFA-4D2C-B9CF-24D625D06765}"/>
    <cellStyle name="Note 2 3 3 8" xfId="1909" xr:uid="{6E2F039E-24B4-43CA-8201-1D7769C6A61B}"/>
    <cellStyle name="Note 2 3 3 9" xfId="2299" xr:uid="{0C27801B-3FA7-4C6B-BC67-0C8FFA312C6E}"/>
    <cellStyle name="Note 2 3 4" xfId="826" xr:uid="{CF04989C-9BA1-46DE-815F-8DD914FBA762}"/>
    <cellStyle name="Note 2 3 4 2" xfId="1155" xr:uid="{46349C63-A9F0-44F1-976F-364A37B172C3}"/>
    <cellStyle name="Note 2 3 4 3" xfId="1315" xr:uid="{8C7A11CB-6806-43A3-BDFE-21479BA0C0F2}"/>
    <cellStyle name="Note 2 3 5" xfId="799" xr:uid="{19A1C802-4328-4E10-9823-BCDD049076C1}"/>
    <cellStyle name="Note 2 3 5 2" xfId="1132" xr:uid="{0F50B3B0-A3FF-43C5-95E6-788F688827C8}"/>
    <cellStyle name="Note 2 3 5 3" xfId="1072" xr:uid="{934E024D-1AAB-4DA7-B6FF-974AF71CA21A}"/>
    <cellStyle name="Note 2 3 6" xfId="1629" xr:uid="{ED5ECEB7-1ED6-47AC-AB6D-C2B9DAE17C9B}"/>
    <cellStyle name="Note 2 3 7" xfId="1609" xr:uid="{226D6A91-C5D8-48D8-A972-9268EBA2A92C}"/>
    <cellStyle name="Note 2 3 8" xfId="1734" xr:uid="{E0E27C2F-75BC-48F3-B14D-C0E1FA1C8210}"/>
    <cellStyle name="Note 2 3 9" xfId="2022" xr:uid="{AAA225CC-0DDF-4FE6-943D-895F98F0551D}"/>
    <cellStyle name="Note 2 4" xfId="668" xr:uid="{00000000-0005-0000-0000-000069020000}"/>
    <cellStyle name="Note 2 4 10" xfId="1895" xr:uid="{44B231C3-BF29-4515-A066-A83C86CF3402}"/>
    <cellStyle name="Note 2 4 11" xfId="2164" xr:uid="{84BE3AB2-B211-4FF1-8D89-4418ADEEE14A}"/>
    <cellStyle name="Note 2 4 12" xfId="2250" xr:uid="{5DBEEEFF-5190-4A31-8EB6-DE05C502AF6F}"/>
    <cellStyle name="Note 2 4 13" xfId="2344" xr:uid="{9BA8AD94-DA82-43C8-8DF6-4557642904DD}"/>
    <cellStyle name="Note 2 4 2" xfId="747" xr:uid="{00000000-0005-0000-0000-00006A020000}"/>
    <cellStyle name="Note 2 4 2 10" xfId="2223" xr:uid="{148BAE8C-A774-43F2-815C-07AFC5EB4BB0}"/>
    <cellStyle name="Note 2 4 2 11" xfId="2319" xr:uid="{4EA0CEF8-11E1-4F9D-B8BE-6AF62A82135B}"/>
    <cellStyle name="Note 2 4 2 12" xfId="2413" xr:uid="{FE1DAFCA-C5B1-4ACF-BED7-561FA2E59C3F}"/>
    <cellStyle name="Note 2 4 2 2" xfId="928" xr:uid="{6EBF4764-C720-4A2E-8976-56762DF1B507}"/>
    <cellStyle name="Note 2 4 2 2 2" xfId="1253" xr:uid="{7BE61854-480F-4A07-82BC-B0ECEC8E3C2E}"/>
    <cellStyle name="Note 2 4 2 2 3" xfId="1403" xr:uid="{7074137B-3378-47B9-A0F4-029B89E5E24D}"/>
    <cellStyle name="Note 2 4 2 3" xfId="1033" xr:uid="{11A2917C-98D9-4648-A876-20992E0DDE65}"/>
    <cellStyle name="Note 2 4 2 3 2" xfId="1305" xr:uid="{E8760571-2FFB-4784-B10F-6B6AD7EB2FC0}"/>
    <cellStyle name="Note 2 4 2 3 3" xfId="1494" xr:uid="{F3357D43-D3DD-4779-8A07-10EF4D54F7E6}"/>
    <cellStyle name="Note 2 4 2 4" xfId="1102" xr:uid="{A7CD66F2-3A7B-4966-8531-353A422F7365}"/>
    <cellStyle name="Note 2 4 2 5" xfId="1657" xr:uid="{057463DC-CE8B-495D-A073-9B6FEF245387}"/>
    <cellStyle name="Note 2 4 2 6" xfId="1694" xr:uid="{4A4FC546-9016-487D-ABA3-7375E77B8914}"/>
    <cellStyle name="Note 2 4 2 7" xfId="1827" xr:uid="{DB7CD638-B126-47FC-A216-9DA202F9D869}"/>
    <cellStyle name="Note 2 4 2 8" xfId="2115" xr:uid="{E171EAA0-E1F4-49D2-B4A0-98BAECBC4208}"/>
    <cellStyle name="Note 2 4 2 9" xfId="2150" xr:uid="{DA3ABFCE-D2A2-4631-9F06-7AEB0091A3F5}"/>
    <cellStyle name="Note 2 4 3" xfId="705" xr:uid="{00000000-0005-0000-0000-00006B020000}"/>
    <cellStyle name="Note 2 4 3 10" xfId="2376" xr:uid="{5F72C994-584A-4205-97B2-DFCBE1A357DF}"/>
    <cellStyle name="Note 2 4 3 2" xfId="886" xr:uid="{FF0029C2-3F72-4FF8-A98F-0CB0A4E2C88D}"/>
    <cellStyle name="Note 2 4 3 2 2" xfId="1213" xr:uid="{7BE20C5C-13A7-437A-BAB5-EE0D92FF8E31}"/>
    <cellStyle name="Note 2 4 3 2 3" xfId="1367" xr:uid="{2D56B042-C246-4E4C-A37B-35223DE18830}"/>
    <cellStyle name="Note 2 4 3 3" xfId="996" xr:uid="{DD78773D-58A4-4719-A125-C3B93C4A5905}"/>
    <cellStyle name="Note 2 4 3 3 2" xfId="1458" xr:uid="{9F9D3961-C04A-4415-88D0-81B0A908DA02}"/>
    <cellStyle name="Note 2 4 3 4" xfId="1648" xr:uid="{2611B741-AA81-4E4F-8D15-E562D5968BC2}"/>
    <cellStyle name="Note 2 4 3 5" xfId="1562" xr:uid="{758E702B-3BA2-4A64-B330-EE3CDB15DF82}"/>
    <cellStyle name="Note 2 4 3 6" xfId="1787" xr:uid="{BC5F98DC-C6A8-4F7C-8A1D-A3C1E5AE7A4E}"/>
    <cellStyle name="Note 2 4 3 7" xfId="2039" xr:uid="{B2610E1C-5414-43F9-83BF-189419CE444C}"/>
    <cellStyle name="Note 2 4 3 8" xfId="1924" xr:uid="{ABA1A66D-191C-4367-B03E-FD6FE61143E5}"/>
    <cellStyle name="Note 2 4 3 9" xfId="2282" xr:uid="{FFC0159F-51CA-4886-9917-83961B2DDA63}"/>
    <cellStyle name="Note 2 4 4" xfId="849" xr:uid="{790574B0-412A-425F-84AE-C9D0CC7B557E}"/>
    <cellStyle name="Note 2 4 4 2" xfId="1178" xr:uid="{B51EE0FA-9536-4D36-BD45-5276DD901477}"/>
    <cellStyle name="Note 2 4 4 3" xfId="1337" xr:uid="{A00063D9-8ADE-4AC4-AB82-172CB3D04224}"/>
    <cellStyle name="Note 2 4 5" xfId="964" xr:uid="{0E4896FE-26A1-4D92-8542-F3C2F5BFDA61}"/>
    <cellStyle name="Note 2 4 5 2" xfId="1428" xr:uid="{D7E0DC79-F980-4BD2-B908-8DEA8CBEC608}"/>
    <cellStyle name="Note 2 4 6" xfId="1640" xr:uid="{EAD5638A-7731-45B1-8DC9-D02B2DD778D0}"/>
    <cellStyle name="Note 2 4 7" xfId="1592" xr:uid="{4BCE2885-B0F5-4D4D-83A5-04E42BF5B3B6}"/>
    <cellStyle name="Note 2 4 8" xfId="1752" xr:uid="{2F190790-DA36-40AC-A6E5-50A8F5A7C3A7}"/>
    <cellStyle name="Note 2 4 9" xfId="2079" xr:uid="{5E1C3160-8DD7-4976-AEA9-5E2EA0D1A2B0}"/>
    <cellStyle name="Note 2 5" xfId="742" xr:uid="{00000000-0005-0000-0000-00006C020000}"/>
    <cellStyle name="Note 2 5 10" xfId="2409" xr:uid="{5915DA12-F678-4CEE-AEB5-C6A792034399}"/>
    <cellStyle name="Note 2 5 2" xfId="923" xr:uid="{A5FDE56D-E2A3-48F2-A7EF-78E686422128}"/>
    <cellStyle name="Note 2 5 2 2" xfId="1248" xr:uid="{889B6D3E-088A-496B-BB52-E0FDEA3EF65A}"/>
    <cellStyle name="Note 2 5 2 3" xfId="1399" xr:uid="{DFEF0114-DA61-43EE-9537-F591CEC2D30E}"/>
    <cellStyle name="Note 2 5 3" xfId="1029" xr:uid="{48A4B137-624E-41D2-B5C8-EE3E983CBF42}"/>
    <cellStyle name="Note 2 5 3 2" xfId="1490" xr:uid="{9403780C-0028-4D0A-82F2-CA34A5F97187}"/>
    <cellStyle name="Note 2 5 4" xfId="1655" xr:uid="{1D4C22C0-9893-4928-BF45-71DE4E14FC18}"/>
    <cellStyle name="Note 2 5 5" xfId="1690" xr:uid="{35D5F3E2-0D54-45B3-AB37-1111B681764B}"/>
    <cellStyle name="Note 2 5 6" xfId="1822" xr:uid="{8CC5C526-F2F6-49E7-994A-2B6508838B70}"/>
    <cellStyle name="Note 2 5 7" xfId="2182" xr:uid="{74153665-7E89-4855-8843-B852DC081ACF}"/>
    <cellStyle name="Note 2 5 8" xfId="2219" xr:uid="{877F1715-F3D4-4AD0-8B47-0ADE1763251C}"/>
    <cellStyle name="Note 2 5 9" xfId="2315" xr:uid="{E5BCA223-9A32-4355-ACD5-54CE5B9823C4}"/>
    <cellStyle name="Note 2 6" xfId="785" xr:uid="{5A1D3844-ED62-42D5-8094-A615CDB8D022}"/>
    <cellStyle name="Note 2 6 2" xfId="1118" xr:uid="{3A3D7368-F470-4331-9EDB-B635B071A905}"/>
    <cellStyle name="Note 2 6 3" xfId="1086" xr:uid="{8C1F3B90-F60F-4B2E-A2B7-40A9B4865A76}"/>
    <cellStyle name="Note 2 7" xfId="840" xr:uid="{2569B05B-EB41-43BA-9E1E-ED91494FDB27}"/>
    <cellStyle name="Note 2 7 2" xfId="1169" xr:uid="{ED4EA98D-B55F-41B1-B9AC-4908BC7BD8E6}"/>
    <cellStyle name="Note 2 7 3" xfId="1329" xr:uid="{9744A371-D836-4E98-A0F1-A6175DD69878}"/>
    <cellStyle name="Note 2 8" xfId="1543" xr:uid="{233FF7EE-AF09-4956-87A5-C4E8AD756712}"/>
    <cellStyle name="Note 2 9" xfId="1635" xr:uid="{7D973641-0422-4F66-ACAC-3333EE246047}"/>
    <cellStyle name="Note 3" xfId="556" xr:uid="{00000000-0005-0000-0000-00006D020000}"/>
    <cellStyle name="Note 3 10" xfId="1951" xr:uid="{FA6FDD37-4E15-4200-BFAC-A3C16C8DE434}"/>
    <cellStyle name="Note 3 11" xfId="1967" xr:uid="{96620A0F-A9CC-45C8-A032-413D70A4FC9B}"/>
    <cellStyle name="Note 3 12" xfId="2000" xr:uid="{117E3487-9592-4679-9707-DC4843FF6CD0}"/>
    <cellStyle name="Note 3 13" xfId="1977" xr:uid="{0DEB14B6-4023-4884-B5E8-25270E2A4D75}"/>
    <cellStyle name="Note 3 2" xfId="685" xr:uid="{00000000-0005-0000-0000-00006E020000}"/>
    <cellStyle name="Note 3 2 10" xfId="1880" xr:uid="{67F1666B-084F-4009-8DB6-EC7FAED962D3}"/>
    <cellStyle name="Note 3 2 11" xfId="1936" xr:uid="{80A574E7-2694-4A1A-BC01-77AA56E8E781}"/>
    <cellStyle name="Note 3 2 12" xfId="2264" xr:uid="{DD04FF79-09DE-44D9-A0F2-0C85211131B8}"/>
    <cellStyle name="Note 3 2 13" xfId="2358" xr:uid="{8BB5077B-5621-4808-8EA1-1E9E4618185C}"/>
    <cellStyle name="Note 3 2 2" xfId="753" xr:uid="{00000000-0005-0000-0000-00006F020000}"/>
    <cellStyle name="Note 3 2 2 10" xfId="2227" xr:uid="{57DFA0A1-E6FD-44AB-921C-00AD70C66826}"/>
    <cellStyle name="Note 3 2 2 11" xfId="2322" xr:uid="{0F80ED39-7D2A-47F2-88E0-7C8E74A5FA8C}"/>
    <cellStyle name="Note 3 2 2 12" xfId="2416" xr:uid="{99CFE53B-3D31-4957-9F18-7099094F4D24}"/>
    <cellStyle name="Note 3 2 2 2" xfId="934" xr:uid="{F9A9BD08-E734-4245-B426-87162123E825}"/>
    <cellStyle name="Note 3 2 2 2 2" xfId="1258" xr:uid="{BBE6BCF6-8178-4D0E-996F-EFAF8EB2B7E2}"/>
    <cellStyle name="Note 3 2 2 2 3" xfId="1406" xr:uid="{EE10DAB7-4B64-4A63-A05C-3C226AC425F6}"/>
    <cellStyle name="Note 3 2 2 3" xfId="1036" xr:uid="{3764C080-0983-4782-84C7-B1D919318E9C}"/>
    <cellStyle name="Note 3 2 2 3 2" xfId="1308" xr:uid="{F6C0E781-D398-416C-86FE-6D0C2AA390E5}"/>
    <cellStyle name="Note 3 2 2 3 3" xfId="1497" xr:uid="{391DC7A0-CB9B-4EF8-84DD-2D6E5FE80ADD}"/>
    <cellStyle name="Note 3 2 2 4" xfId="1107" xr:uid="{52E0C74E-1CAC-4F0E-8948-A2770DCEC27E}"/>
    <cellStyle name="Note 3 2 2 5" xfId="1662" xr:uid="{D7379B28-AA10-43CF-98EA-E09AB0AADE52}"/>
    <cellStyle name="Note 3 2 2 6" xfId="1697" xr:uid="{2AD9CF20-8C0B-4A57-A095-ECD106135489}"/>
    <cellStyle name="Note 3 2 2 7" xfId="1832" xr:uid="{5AAFC9E9-7A1A-4B18-8227-E7C69FFF060A}"/>
    <cellStyle name="Note 3 2 2 8" xfId="2121" xr:uid="{CDEA9F05-C152-466B-97C0-D397FB5E1929}"/>
    <cellStyle name="Note 3 2 2 9" xfId="2154" xr:uid="{C2891EE8-A855-4A9E-9651-02F58B9BAA63}"/>
    <cellStyle name="Note 3 2 3" xfId="760" xr:uid="{00000000-0005-0000-0000-000070020000}"/>
    <cellStyle name="Note 3 2 3 10" xfId="2423" xr:uid="{E4DEF129-FA73-4502-BA86-96B07579A059}"/>
    <cellStyle name="Note 3 2 3 2" xfId="941" xr:uid="{EF8CC924-A1DD-4898-8117-0DEFE558A8E3}"/>
    <cellStyle name="Note 3 2 3 2 2" xfId="1265" xr:uid="{B0C893E5-AF98-4A4F-83D1-48B0E2F8CF6C}"/>
    <cellStyle name="Note 3 2 3 2 3" xfId="1413" xr:uid="{12D24318-1A1A-4596-B6C2-8DC37A6C38C4}"/>
    <cellStyle name="Note 3 2 3 3" xfId="1043" xr:uid="{8CBEB094-B84E-45D3-A5F8-0473FA337344}"/>
    <cellStyle name="Note 3 2 3 3 2" xfId="1504" xr:uid="{6EBDA006-2719-4811-AF23-C6C1137C8958}"/>
    <cellStyle name="Note 3 2 3 4" xfId="1666" xr:uid="{EA03BC6A-8DF6-4E4B-BAC0-04020C26FD9F}"/>
    <cellStyle name="Note 3 2 3 5" xfId="1704" xr:uid="{D445BC20-59E9-40A9-A52A-E2931D340849}"/>
    <cellStyle name="Note 3 2 3 6" xfId="1839" xr:uid="{FE0D689C-873B-4927-A54D-2EE2BE67F159}"/>
    <cellStyle name="Note 3 2 3 7" xfId="2192" xr:uid="{DF43BE98-2992-4836-9832-5D4AD6C7CAD9}"/>
    <cellStyle name="Note 3 2 3 8" xfId="2234" xr:uid="{E42D2CBA-EEEB-4271-AD58-B7A3D2A347B4}"/>
    <cellStyle name="Note 3 2 3 9" xfId="2329" xr:uid="{73F41ADA-40F1-4629-9408-FDD2E72649F1}"/>
    <cellStyle name="Note 3 2 4" xfId="866" xr:uid="{097D954D-00B2-455D-BCBB-C563A8AC8FFC}"/>
    <cellStyle name="Note 3 2 4 2" xfId="1194" xr:uid="{25805AFA-8862-4BF2-87A7-780747747250}"/>
    <cellStyle name="Note 3 2 4 3" xfId="1350" xr:uid="{4655DD97-B965-436F-9635-6FC01F3A5B45}"/>
    <cellStyle name="Note 3 2 5" xfId="978" xr:uid="{861927C5-2053-4C65-B844-E94DAAA64090}"/>
    <cellStyle name="Note 3 2 5 2" xfId="1441" xr:uid="{585092DE-374A-4AFF-969D-9FA54EF6BEE1}"/>
    <cellStyle name="Note 3 2 6" xfId="1645" xr:uid="{077C9D23-CB77-41DE-9201-77DF196364ED}"/>
    <cellStyle name="Note 3 2 7" xfId="1579" xr:uid="{C5791FAB-03C0-436B-B1F0-9352DC307CAC}"/>
    <cellStyle name="Note 3 2 8" xfId="1768" xr:uid="{96716C83-D276-44C6-941C-C435032CB99F}"/>
    <cellStyle name="Note 3 2 9" xfId="2095" xr:uid="{AC4F0560-9BA8-4ED0-86DA-C3BD37807195}"/>
    <cellStyle name="Note 3 3" xfId="721" xr:uid="{00000000-0005-0000-0000-000071020000}"/>
    <cellStyle name="Note 3 3 10" xfId="2392" xr:uid="{E064C502-D959-420C-9D2F-6BB408680B83}"/>
    <cellStyle name="Note 3 3 2" xfId="902" xr:uid="{691A9A09-7AAA-4327-9263-D60B630C24A3}"/>
    <cellStyle name="Note 3 3 2 2" xfId="1229" xr:uid="{3ED90C4A-181C-4BDB-B057-2A5D3AEB87F1}"/>
    <cellStyle name="Note 3 3 2 3" xfId="1383" xr:uid="{9B78E17B-9D79-40F9-B641-1C5ACF52562A}"/>
    <cellStyle name="Note 3 3 3" xfId="1012" xr:uid="{BC376837-9340-4814-B12C-241968C17332}"/>
    <cellStyle name="Note 3 3 3 2" xfId="1474" xr:uid="{D883FB72-1EC1-4189-A4AE-D539C59CBC03}"/>
    <cellStyle name="Note 3 3 4" xfId="1650" xr:uid="{AD8C22C9-57DC-4C02-B0C3-16C0249ED0FF}"/>
    <cellStyle name="Note 3 3 5" xfId="1546" xr:uid="{1A792A13-E88E-48E2-B7E1-D183ED78948C}"/>
    <cellStyle name="Note 3 3 6" xfId="1803" xr:uid="{E18B497A-BDAF-4550-82FC-26A962FF4159}"/>
    <cellStyle name="Note 3 3 7" xfId="2165" xr:uid="{CD152ED8-F77B-4A5B-AECD-D311ED6F1ED5}"/>
    <cellStyle name="Note 3 3 8" xfId="1910" xr:uid="{368DCE5C-14BC-4F84-81A6-CFFCF362A9E4}"/>
    <cellStyle name="Note 3 3 9" xfId="2298" xr:uid="{6784DC6A-9B6B-434C-BABD-932A8EF80668}"/>
    <cellStyle name="Note 3 4" xfId="827" xr:uid="{D47D7CB5-5D6B-436E-9FB2-5BD7D1C1EB1F}"/>
    <cellStyle name="Note 3 4 2" xfId="1156" xr:uid="{ACE90A21-AE99-462F-8F6C-24EA57A7E312}"/>
    <cellStyle name="Note 3 4 3" xfId="1316" xr:uid="{983ABA51-C18A-408D-9C89-A5530CF93E8C}"/>
    <cellStyle name="Note 3 5" xfId="798" xr:uid="{DB2BE9F8-D15D-4B68-AB13-FCC7F563F929}"/>
    <cellStyle name="Note 3 5 2" xfId="1131" xr:uid="{7FB7B95F-F944-4052-A049-1561461C30C6}"/>
    <cellStyle name="Note 3 5 3" xfId="1073" xr:uid="{944610EB-E539-4FAB-B51E-71F76CA39107}"/>
    <cellStyle name="Note 3 6" xfId="1630" xr:uid="{5279E364-C459-4FC4-BF29-3EA809CE9F45}"/>
    <cellStyle name="Note 3 7" xfId="1608" xr:uid="{703D214A-8102-4CF9-9129-6337CF211376}"/>
    <cellStyle name="Note 3 8" xfId="1735" xr:uid="{EA87B81B-D98F-4553-AFE5-31E63D55E0EC}"/>
    <cellStyle name="Note 3 9" xfId="2023" xr:uid="{CD29673A-B448-4752-B02D-E88BE326E0FE}"/>
    <cellStyle name="Œ…‹æØ‚è [0.00]_Apl" xfId="557" xr:uid="{00000000-0005-0000-0000-000072020000}"/>
    <cellStyle name="Œ…‹æØ‚è_Apl" xfId="558" xr:uid="{00000000-0005-0000-0000-000073020000}"/>
    <cellStyle name="Output 2" xfId="53" xr:uid="{00000000-0005-0000-0000-000074020000}"/>
    <cellStyle name="Output 2 10" xfId="1866" xr:uid="{7A5EF2C3-DF4E-4842-A566-1E45EC3F1A41}"/>
    <cellStyle name="Output 2 11" xfId="2059" xr:uid="{D923A116-899F-480D-8A84-C68344AA2B33}"/>
    <cellStyle name="Output 2 12" xfId="1857" xr:uid="{163982B4-7027-48EC-96AF-50B049BC059B}"/>
    <cellStyle name="Output 2 13" xfId="2062" xr:uid="{364D88B4-336F-4DD4-B5C1-338667E58E7E}"/>
    <cellStyle name="Output 2 14" xfId="2005" xr:uid="{D452CE80-688F-4968-ACD9-D033D8ECA1F7}"/>
    <cellStyle name="Output 2 2" xfId="559" xr:uid="{00000000-0005-0000-0000-000075020000}"/>
    <cellStyle name="Output 2 2 10" xfId="1950" xr:uid="{6F1C9A0A-54F3-43C0-91B1-929B5A08F5DA}"/>
    <cellStyle name="Output 2 2 11" xfId="2066" xr:uid="{3B9DD60B-A232-45F3-8C27-F14B1A742D06}"/>
    <cellStyle name="Output 2 2 12" xfId="2206" xr:uid="{3EA2709B-6CD6-44A9-951C-D009A42BF30C}"/>
    <cellStyle name="Output 2 2 13" xfId="1976" xr:uid="{7C4458C2-AAEC-47F2-9640-CE7AFEB3B6C9}"/>
    <cellStyle name="Output 2 2 2" xfId="560" xr:uid="{00000000-0005-0000-0000-000076020000}"/>
    <cellStyle name="Output 2 2 2 10" xfId="1966" xr:uid="{52BFAFD2-96F7-427E-92F6-DCA44B13D63D}"/>
    <cellStyle name="Output 2 2 2 11" xfId="1902" xr:uid="{D5DEC4C0-AE1D-4EE0-A8DE-9C063F806251}"/>
    <cellStyle name="Output 2 2 2 12" xfId="1975" xr:uid="{A687D10E-DA4D-4B27-AA8E-354C69F840B5}"/>
    <cellStyle name="Output 2 2 2 2" xfId="687" xr:uid="{00000000-0005-0000-0000-000077020000}"/>
    <cellStyle name="Output 2 2 2 2 10" xfId="2266" xr:uid="{115666DB-AFCC-4350-91F3-352726741AC6}"/>
    <cellStyle name="Output 2 2 2 2 11" xfId="2360" xr:uid="{A9A147F6-E3A0-4EE9-A745-3BA5A35F5DB4}"/>
    <cellStyle name="Output 2 2 2 2 2" xfId="762" xr:uid="{00000000-0005-0000-0000-000078020000}"/>
    <cellStyle name="Output 2 2 2 2 2 2" xfId="943" xr:uid="{5177C3CD-C67A-42CE-8DA9-4DE704EDBF90}"/>
    <cellStyle name="Output 2 2 2 2 2 2 2" xfId="1267" xr:uid="{DF3FAE3D-FF4E-4641-94A7-16B1242D0CD1}"/>
    <cellStyle name="Output 2 2 2 2 2 2 3" xfId="1415" xr:uid="{6B3E9671-92AB-4B54-8BD4-B5DD6B9209D6}"/>
    <cellStyle name="Output 2 2 2 2 2 3" xfId="1045" xr:uid="{ACF9B803-EAEF-46C2-AA6A-4E2020CF0A0A}"/>
    <cellStyle name="Output 2 2 2 2 2 3 2" xfId="1311" xr:uid="{B1D15DCE-DE00-43E0-9CB1-5DC05CA335B8}"/>
    <cellStyle name="Output 2 2 2 2 2 3 3" xfId="1506" xr:uid="{EAD39CFF-FEE2-4DCB-A442-3B6404BBF14D}"/>
    <cellStyle name="Output 2 2 2 2 2 4" xfId="1706" xr:uid="{6E4753BC-E5CA-4585-9F42-6F0587E1E106}"/>
    <cellStyle name="Output 2 2 2 2 2 5" xfId="1841" xr:uid="{91EFFD35-A0F2-48BE-B89A-B3A4D09E8970}"/>
    <cellStyle name="Output 2 2 2 2 2 6" xfId="2194" xr:uid="{8B21B7DB-9641-450C-87D4-286F3F9FAF8F}"/>
    <cellStyle name="Output 2 2 2 2 2 7" xfId="2236" xr:uid="{A047107A-6E6C-4FCA-B4D2-48FC3E6CAF8D}"/>
    <cellStyle name="Output 2 2 2 2 2 8" xfId="2331" xr:uid="{0E9FE3A7-55C2-4167-B65F-95671024D3C9}"/>
    <cellStyle name="Output 2 2 2 2 2 9" xfId="2425" xr:uid="{B808C1FA-9348-4FC9-A57B-C1451C0F72DF}"/>
    <cellStyle name="Output 2 2 2 2 3" xfId="868" xr:uid="{C5CADE6D-7EB5-4A6E-B4AE-B56EE067B1F6}"/>
    <cellStyle name="Output 2 2 2 2 3 2" xfId="1196" xr:uid="{5DF5D72F-7DC9-41C8-9C31-2E643EEC880F}"/>
    <cellStyle name="Output 2 2 2 2 3 3" xfId="1352" xr:uid="{2506E3DB-0802-4AC0-9333-D94E6A65C4B3}"/>
    <cellStyle name="Output 2 2 2 2 4" xfId="980" xr:uid="{ED0B6383-07E7-46D3-B161-D8FD37388788}"/>
    <cellStyle name="Output 2 2 2 2 4 2" xfId="1286" xr:uid="{89BF230E-90EF-40E2-AB06-EDD253416A42}"/>
    <cellStyle name="Output 2 2 2 2 4 3" xfId="1443" xr:uid="{3861885C-C855-4432-A156-36530345729E}"/>
    <cellStyle name="Output 2 2 2 2 5" xfId="1577" xr:uid="{E3CBB11C-45B7-4DFE-85DC-E26B189D934E}"/>
    <cellStyle name="Output 2 2 2 2 6" xfId="1770" xr:uid="{E74C516A-29B4-485A-8F52-CFE8848B9CC4}"/>
    <cellStyle name="Output 2 2 2 2 7" xfId="2097" xr:uid="{61B72E37-6CAA-43D7-94C2-C427577DE255}"/>
    <cellStyle name="Output 2 2 2 2 8" xfId="1878" xr:uid="{ABBF490A-4F75-4E3D-ADAB-174AC4116C31}"/>
    <cellStyle name="Output 2 2 2 2 9" xfId="2055" xr:uid="{9C3781CB-3284-4B8C-A238-773925D694B6}"/>
    <cellStyle name="Output 2 2 2 3" xfId="719" xr:uid="{00000000-0005-0000-0000-000079020000}"/>
    <cellStyle name="Output 2 2 2 3 2" xfId="900" xr:uid="{D9A0C731-EE93-471D-A96E-306AA49D86EA}"/>
    <cellStyle name="Output 2 2 2 3 2 2" xfId="1227" xr:uid="{7496E828-DCDF-459F-9AE3-301FFF3A3233}"/>
    <cellStyle name="Output 2 2 2 3 2 3" xfId="1381" xr:uid="{E65F8A51-30E6-4AA5-99F9-969DABDE48E4}"/>
    <cellStyle name="Output 2 2 2 3 3" xfId="1010" xr:uid="{296511D4-25C9-4475-AD0E-E223D4535BF4}"/>
    <cellStyle name="Output 2 2 2 3 3 2" xfId="1298" xr:uid="{27E377A2-8B3B-4282-B506-93EA137A4730}"/>
    <cellStyle name="Output 2 2 2 3 3 3" xfId="1472" xr:uid="{609DD632-CAAF-4C01-8485-DB7B316B580E}"/>
    <cellStyle name="Output 2 2 2 3 4" xfId="1548" xr:uid="{C15526F7-834C-4626-B490-447421699197}"/>
    <cellStyle name="Output 2 2 2 3 5" xfId="1801" xr:uid="{F48EB486-731F-4EF3-BC03-805E5CD01C4E}"/>
    <cellStyle name="Output 2 2 2 3 6" xfId="2051" xr:uid="{F8F423AB-67BA-4988-ABC9-20F82F502C0A}"/>
    <cellStyle name="Output 2 2 2 3 7" xfId="2138" xr:uid="{70C10F42-1283-44D4-AC9B-A3D2CE9ACB4D}"/>
    <cellStyle name="Output 2 2 2 3 8" xfId="2296" xr:uid="{B21C9B1B-FA08-47A3-B18E-336D9F78494C}"/>
    <cellStyle name="Output 2 2 2 3 9" xfId="2390" xr:uid="{7D218708-192A-451D-ACD5-10C07440478C}"/>
    <cellStyle name="Output 2 2 2 4" xfId="829" xr:uid="{77FDED73-22D1-4577-9D53-A625D5A26D62}"/>
    <cellStyle name="Output 2 2 2 4 2" xfId="1158" xr:uid="{DA109F22-7B8A-42D6-93D1-A7BF62132340}"/>
    <cellStyle name="Output 2 2 2 4 3" xfId="1318" xr:uid="{4502B61A-118E-47D1-8EB8-81348D31F826}"/>
    <cellStyle name="Output 2 2 2 5" xfId="796" xr:uid="{B32BE5D9-B048-4DB0-A9BF-4C4B80F6692C}"/>
    <cellStyle name="Output 2 2 2 5 2" xfId="1129" xr:uid="{80F117DC-AD26-48CA-A8C3-A4ADB9D5B9F3}"/>
    <cellStyle name="Output 2 2 2 5 3" xfId="1075" xr:uid="{6F460607-B190-4B36-9C8D-F8F2D643C77A}"/>
    <cellStyle name="Output 2 2 2 6" xfId="1606" xr:uid="{A3242D54-0185-4866-A739-E916838DFD96}"/>
    <cellStyle name="Output 2 2 2 7" xfId="1737" xr:uid="{2CC4BC6B-4960-4ADF-94D9-88C85F02251E}"/>
    <cellStyle name="Output 2 2 2 8" xfId="2025" xr:uid="{4DCF0812-616D-4999-B1BB-1FB05AF1813C}"/>
    <cellStyle name="Output 2 2 2 9" xfId="1949" xr:uid="{0A36F15E-490E-415B-B63D-D162E9CCA811}"/>
    <cellStyle name="Output 2 2 3" xfId="686" xr:uid="{00000000-0005-0000-0000-00007A020000}"/>
    <cellStyle name="Output 2 2 3 10" xfId="2265" xr:uid="{CF24D317-0018-4E41-9E1D-553D47FEBBA2}"/>
    <cellStyle name="Output 2 2 3 11" xfId="2359" xr:uid="{26FF7671-8AA1-4BF8-912A-09404EDD865B}"/>
    <cellStyle name="Output 2 2 3 2" xfId="761" xr:uid="{00000000-0005-0000-0000-00007B020000}"/>
    <cellStyle name="Output 2 2 3 2 2" xfId="942" xr:uid="{A46F7DC8-64F7-472E-AF2F-4320CB0EB51A}"/>
    <cellStyle name="Output 2 2 3 2 2 2" xfId="1266" xr:uid="{799A740A-31CA-4D19-B98A-16EC0A56C8DA}"/>
    <cellStyle name="Output 2 2 3 2 2 3" xfId="1414" xr:uid="{7360D26A-324B-48E4-BDAB-DABDF99AA133}"/>
    <cellStyle name="Output 2 2 3 2 3" xfId="1044" xr:uid="{6E2752B1-4319-4C1E-B4F1-475B13A239BC}"/>
    <cellStyle name="Output 2 2 3 2 3 2" xfId="1310" xr:uid="{44DABFCA-2D1E-47F7-A282-C188292E6908}"/>
    <cellStyle name="Output 2 2 3 2 3 3" xfId="1505" xr:uid="{252FB7BF-B01D-4FF1-BF4A-57D005AC84F3}"/>
    <cellStyle name="Output 2 2 3 2 4" xfId="1705" xr:uid="{04BDC8FF-FE69-48EA-9E94-90DAE825BD6C}"/>
    <cellStyle name="Output 2 2 3 2 5" xfId="1840" xr:uid="{9B8E56F4-3462-4D54-A70C-0B177A14E1EE}"/>
    <cellStyle name="Output 2 2 3 2 6" xfId="2193" xr:uid="{C3D6823E-49B6-4FB2-85E5-5BA5C9450341}"/>
    <cellStyle name="Output 2 2 3 2 7" xfId="2235" xr:uid="{47552867-C2B0-4016-AE66-605353C1570C}"/>
    <cellStyle name="Output 2 2 3 2 8" xfId="2330" xr:uid="{4868F230-3B2C-42E2-A59F-36C6A50FC4F2}"/>
    <cellStyle name="Output 2 2 3 2 9" xfId="2424" xr:uid="{446029D7-86F0-4143-87EE-747C4BC07EA9}"/>
    <cellStyle name="Output 2 2 3 3" xfId="867" xr:uid="{8723E445-FEE9-4FD5-BAC7-F0F31F8E18F1}"/>
    <cellStyle name="Output 2 2 3 3 2" xfId="1195" xr:uid="{6D800CD8-5692-45B3-B5A1-3C84EEB33DFC}"/>
    <cellStyle name="Output 2 2 3 3 3" xfId="1351" xr:uid="{40659D96-848F-4FF4-8074-135BD6FCAC55}"/>
    <cellStyle name="Output 2 2 3 4" xfId="979" xr:uid="{F1A68B9F-B6B5-4802-A12C-A63DEEF3DC86}"/>
    <cellStyle name="Output 2 2 3 4 2" xfId="1285" xr:uid="{D3CA5C7D-AFFE-447A-BDBF-6E450C4CD6A8}"/>
    <cellStyle name="Output 2 2 3 4 3" xfId="1442" xr:uid="{DFEA7C6A-A9FF-49AB-8E3F-603A535A8BEF}"/>
    <cellStyle name="Output 2 2 3 5" xfId="1578" xr:uid="{7897FE04-9246-4410-A273-5B7CD3EF47B5}"/>
    <cellStyle name="Output 2 2 3 6" xfId="1769" xr:uid="{5A1C4C66-D875-4FE8-B55B-4F7F61196D16}"/>
    <cellStyle name="Output 2 2 3 7" xfId="2096" xr:uid="{308D6B63-C0DB-49C1-A5A6-BFA60BF2CAF2}"/>
    <cellStyle name="Output 2 2 3 8" xfId="1879" xr:uid="{E0641390-E539-4BBA-A419-8603D8F81FA1}"/>
    <cellStyle name="Output 2 2 3 9" xfId="1935" xr:uid="{7F177CCC-A301-4857-991C-D2C6F06C377C}"/>
    <cellStyle name="Output 2 2 4" xfId="720" xr:uid="{00000000-0005-0000-0000-00007C020000}"/>
    <cellStyle name="Output 2 2 4 2" xfId="901" xr:uid="{5A94B6CC-2115-4ED2-B095-824EFF82036F}"/>
    <cellStyle name="Output 2 2 4 2 2" xfId="1228" xr:uid="{50E6362A-6A4D-4B99-B059-8ED4F64410CC}"/>
    <cellStyle name="Output 2 2 4 2 3" xfId="1382" xr:uid="{E1FBFA38-084E-4AF4-A8F8-8C0B73EE9D83}"/>
    <cellStyle name="Output 2 2 4 3" xfId="1011" xr:uid="{E309FD77-0F92-48D5-BE22-AF1358995804}"/>
    <cellStyle name="Output 2 2 4 3 2" xfId="1299" xr:uid="{87AFC179-7959-4923-AF9B-CBA6371E2E94}"/>
    <cellStyle name="Output 2 2 4 3 3" xfId="1473" xr:uid="{25865DC7-6C5E-44A1-BB43-96DD98DC1E5D}"/>
    <cellStyle name="Output 2 2 4 4" xfId="1547" xr:uid="{56CE7BDB-326D-435B-94F3-EE3053187183}"/>
    <cellStyle name="Output 2 2 4 5" xfId="1802" xr:uid="{65F3BF63-0A1E-4A26-8CBD-71947939091D}"/>
    <cellStyle name="Output 2 2 4 6" xfId="2052" xr:uid="{4DE4AFC5-36EA-48A7-BBB9-6E483DE75574}"/>
    <cellStyle name="Output 2 2 4 7" xfId="1911" xr:uid="{67DB01E3-5383-4D02-B37E-B8631C1990B6}"/>
    <cellStyle name="Output 2 2 4 8" xfId="2297" xr:uid="{0BF6430D-1343-4E54-9494-7C7288C12DBC}"/>
    <cellStyle name="Output 2 2 4 9" xfId="2391" xr:uid="{7954E1B9-1968-4215-8E81-3DEA31D37596}"/>
    <cellStyle name="Output 2 2 5" xfId="828" xr:uid="{44607399-6F7A-4BBE-9912-98AF5AE28C49}"/>
    <cellStyle name="Output 2 2 5 2" xfId="1157" xr:uid="{D83F4991-8593-4301-9BBB-8C1CF3551A07}"/>
    <cellStyle name="Output 2 2 5 3" xfId="1317" xr:uid="{0E1652AD-25B2-4B63-B4DC-1BB1CEB8968B}"/>
    <cellStyle name="Output 2 2 6" xfId="797" xr:uid="{E0D5E92D-7DE6-4EF8-B8EB-540E9D75A813}"/>
    <cellStyle name="Output 2 2 6 2" xfId="1130" xr:uid="{1DAB4A6A-37FA-41B5-88D8-0D712B6B0C90}"/>
    <cellStyle name="Output 2 2 6 3" xfId="1074" xr:uid="{0589215A-AC6F-42E3-B474-462A5EA0ACCE}"/>
    <cellStyle name="Output 2 2 7" xfId="1607" xr:uid="{85F76AD3-B54F-4BE4-A870-27BBD910FF24}"/>
    <cellStyle name="Output 2 2 8" xfId="1736" xr:uid="{DB9F81FF-A01A-4661-998B-AB3C99E707F3}"/>
    <cellStyle name="Output 2 2 9" xfId="2024" xr:uid="{F89E38E6-A3D0-4775-8924-2B6456C0B76B}"/>
    <cellStyle name="Output 2 3" xfId="561" xr:uid="{00000000-0005-0000-0000-00007D020000}"/>
    <cellStyle name="Output 2 3 10" xfId="1965" xr:uid="{DFF6941C-BE9D-487C-8BCA-386A88B8B6EF}"/>
    <cellStyle name="Output 2 3 11" xfId="2075" xr:uid="{18BA77F5-3393-4C9E-975A-E5DB3080F066}"/>
    <cellStyle name="Output 2 3 12" xfId="1943" xr:uid="{B89A54CB-5A74-4155-B077-F73A5CCF0741}"/>
    <cellStyle name="Output 2 3 2" xfId="688" xr:uid="{00000000-0005-0000-0000-00007E020000}"/>
    <cellStyle name="Output 2 3 2 10" xfId="2267" xr:uid="{D8512158-C538-4EEF-A9C6-6AA430F3AB50}"/>
    <cellStyle name="Output 2 3 2 11" xfId="2361" xr:uid="{EF913E8E-05CA-45B7-B053-34BC9D040DBC}"/>
    <cellStyle name="Output 2 3 2 2" xfId="763" xr:uid="{00000000-0005-0000-0000-00007F020000}"/>
    <cellStyle name="Output 2 3 2 2 2" xfId="944" xr:uid="{1271F663-951A-41C9-8D38-F861D857F561}"/>
    <cellStyle name="Output 2 3 2 2 2 2" xfId="1268" xr:uid="{EB8AA67D-54C1-4CC3-BD69-802706314DE1}"/>
    <cellStyle name="Output 2 3 2 2 2 3" xfId="1416" xr:uid="{A6611255-A0C3-4496-8DFB-663117CCA17F}"/>
    <cellStyle name="Output 2 3 2 2 3" xfId="1046" xr:uid="{56772247-9DE4-42E4-8637-7B6FC04BC68C}"/>
    <cellStyle name="Output 2 3 2 2 3 2" xfId="1312" xr:uid="{E176E029-AB5C-44FD-9916-F2D7BD96BE0B}"/>
    <cellStyle name="Output 2 3 2 2 3 3" xfId="1507" xr:uid="{B1A1DD1F-1099-41E7-9AFD-8DE6D2E4E7A6}"/>
    <cellStyle name="Output 2 3 2 2 4" xfId="1707" xr:uid="{778F7525-A884-4931-8D91-393FCAEF4317}"/>
    <cellStyle name="Output 2 3 2 2 5" xfId="1842" xr:uid="{86552AF4-3D5A-4678-9F1A-5A745373ACE0}"/>
    <cellStyle name="Output 2 3 2 2 6" xfId="2195" xr:uid="{1418CBD7-4958-48B3-BC9E-39FB0CD64B6F}"/>
    <cellStyle name="Output 2 3 2 2 7" xfId="2237" xr:uid="{85513431-2043-42E2-9045-EB8B0E594ED6}"/>
    <cellStyle name="Output 2 3 2 2 8" xfId="2332" xr:uid="{FE96D5A9-5C0C-4BE7-8A34-7136906CEA92}"/>
    <cellStyle name="Output 2 3 2 2 9" xfId="2426" xr:uid="{9E6CD4E2-1DD4-4048-8D6F-9C41517D9820}"/>
    <cellStyle name="Output 2 3 2 3" xfId="869" xr:uid="{B5B5CBC6-3819-4874-ABA7-567B29C19AB3}"/>
    <cellStyle name="Output 2 3 2 3 2" xfId="1197" xr:uid="{6F55926F-8FC5-4DFA-A0EB-011732BA34D1}"/>
    <cellStyle name="Output 2 3 2 3 3" xfId="1353" xr:uid="{9BED6144-80B7-4A87-9776-A3C6D4956617}"/>
    <cellStyle name="Output 2 3 2 4" xfId="981" xr:uid="{31C9ED12-A843-4CDD-A221-F896A1AB241E}"/>
    <cellStyle name="Output 2 3 2 4 2" xfId="1287" xr:uid="{405767A9-1BF5-46C5-88A7-F98A2505CE42}"/>
    <cellStyle name="Output 2 3 2 4 3" xfId="1444" xr:uid="{8D49332C-0159-4D3F-B864-FFCA01AEC243}"/>
    <cellStyle name="Output 2 3 2 5" xfId="1576" xr:uid="{7693ED0D-7AB3-436A-B267-9D2BCE5F3824}"/>
    <cellStyle name="Output 2 3 2 6" xfId="1771" xr:uid="{264AE5F3-AE13-4D74-B54A-240A9B4AC0AB}"/>
    <cellStyle name="Output 2 3 2 7" xfId="2098" xr:uid="{C3586127-26BC-44A3-93A7-7047A4772178}"/>
    <cellStyle name="Output 2 3 2 8" xfId="1877" xr:uid="{9A5A4557-B645-4539-AAD3-DF6731E78C11}"/>
    <cellStyle name="Output 2 3 2 9" xfId="1934" xr:uid="{699B1B13-D2B8-40DE-A49E-B3CEF853B9DB}"/>
    <cellStyle name="Output 2 3 3" xfId="718" xr:uid="{00000000-0005-0000-0000-000080020000}"/>
    <cellStyle name="Output 2 3 3 2" xfId="899" xr:uid="{D18C0CBC-74FB-4763-B6D9-DFA3FBA34351}"/>
    <cellStyle name="Output 2 3 3 2 2" xfId="1226" xr:uid="{5B346C57-3EF7-45EC-A966-BBF47A1B72C9}"/>
    <cellStyle name="Output 2 3 3 2 3" xfId="1380" xr:uid="{684DC1BA-A1EB-4F70-8792-22FBC196FD7B}"/>
    <cellStyle name="Output 2 3 3 3" xfId="1009" xr:uid="{C637D09E-3FF8-48CC-A340-F5FD0073CBB1}"/>
    <cellStyle name="Output 2 3 3 3 2" xfId="1297" xr:uid="{C996612C-C418-4969-B33A-C5C9BB0FFE65}"/>
    <cellStyle name="Output 2 3 3 3 3" xfId="1471" xr:uid="{BA89D98C-5B1C-42F9-83F9-9617BEC00832}"/>
    <cellStyle name="Output 2 3 3 4" xfId="1549" xr:uid="{CA5CBBE4-8A01-4FB7-BBE1-23DCCF7D10B4}"/>
    <cellStyle name="Output 2 3 3 5" xfId="1800" xr:uid="{45EDC53D-7577-4048-B098-3DAADA11C8AA}"/>
    <cellStyle name="Output 2 3 3 6" xfId="2050" xr:uid="{908EE162-3539-4E9C-995D-5DB6EEAFD8E4}"/>
    <cellStyle name="Output 2 3 3 7" xfId="2160" xr:uid="{A5E017E5-8E58-4054-A287-D8A438E0FF79}"/>
    <cellStyle name="Output 2 3 3 8" xfId="2295" xr:uid="{B2E151BF-A48B-432C-9044-ACD7CCA93E2F}"/>
    <cellStyle name="Output 2 3 3 9" xfId="2389" xr:uid="{240758D9-EA24-48FE-8751-CBB6577658DC}"/>
    <cellStyle name="Output 2 3 4" xfId="830" xr:uid="{0F76BD25-FC5F-412C-B7C7-6FF1718A5322}"/>
    <cellStyle name="Output 2 3 4 2" xfId="1159" xr:uid="{39DFC6AF-7646-4A68-9CFB-CB0BAA947954}"/>
    <cellStyle name="Output 2 3 4 3" xfId="1319" xr:uid="{B14F064C-4A33-4C4D-BE4A-7DBCDF033C47}"/>
    <cellStyle name="Output 2 3 5" xfId="795" xr:uid="{626B80DB-B31C-4092-93FC-FF8B2C867AF4}"/>
    <cellStyle name="Output 2 3 5 2" xfId="1128" xr:uid="{7D394519-66C8-483B-B0A4-AC1C405778E1}"/>
    <cellStyle name="Output 2 3 5 3" xfId="1076" xr:uid="{0983644C-0E3D-4E28-953E-5A1191098BFF}"/>
    <cellStyle name="Output 2 3 6" xfId="1605" xr:uid="{5F8D4B5D-7825-4A08-8869-9614F6F3208E}"/>
    <cellStyle name="Output 2 3 7" xfId="1738" xr:uid="{53F72597-CD1E-41CB-8DB4-D4386A4814BF}"/>
    <cellStyle name="Output 2 3 8" xfId="2026" xr:uid="{77AD779F-87DD-4AF9-8B70-8CDDC0653033}"/>
    <cellStyle name="Output 2 3 9" xfId="1948" xr:uid="{6EED7D5D-5E36-4877-B21A-D148FC326DAB}"/>
    <cellStyle name="Output 2 4" xfId="669" xr:uid="{00000000-0005-0000-0000-000081020000}"/>
    <cellStyle name="Output 2 4 10" xfId="2251" xr:uid="{B19F0E2C-5322-471A-B938-16CE449C6AA2}"/>
    <cellStyle name="Output 2 4 11" xfId="2345" xr:uid="{99FF72AD-DAE7-48B4-9B05-FA65AA0F9748}"/>
    <cellStyle name="Output 2 4 2" xfId="704" xr:uid="{00000000-0005-0000-0000-000082020000}"/>
    <cellStyle name="Output 2 4 2 2" xfId="885" xr:uid="{F6CFE2FB-D53A-479A-B538-8DB9506394CA}"/>
    <cellStyle name="Output 2 4 2 2 2" xfId="1212" xr:uid="{41C309CC-AC88-4683-A6EE-EC7E7AE4B943}"/>
    <cellStyle name="Output 2 4 2 2 3" xfId="1366" xr:uid="{20984581-B73E-4B7A-B138-6776C4C2479B}"/>
    <cellStyle name="Output 2 4 2 3" xfId="995" xr:uid="{547CE9E5-27CD-430F-9FC1-6713CEBEA258}"/>
    <cellStyle name="Output 2 4 2 3 2" xfId="1290" xr:uid="{6BCEDF73-2654-4A2D-B520-FDC8F30FC31A}"/>
    <cellStyle name="Output 2 4 2 3 3" xfId="1457" xr:uid="{4D81D4C2-E21A-4DE0-9CF4-09F1DD813AF7}"/>
    <cellStyle name="Output 2 4 2 4" xfId="1563" xr:uid="{F81ECA2A-769E-4E3B-A821-E14569F80822}"/>
    <cellStyle name="Output 2 4 2 5" xfId="1786" xr:uid="{7C1D3F71-7F96-480A-BFE2-F9AE061B6FD3}"/>
    <cellStyle name="Output 2 4 2 6" xfId="2038" xr:uid="{E52657AB-B35F-4DCF-AC9A-FC9AE2881A46}"/>
    <cellStyle name="Output 2 4 2 7" xfId="1925" xr:uid="{F8516ECB-2A4C-498D-B689-FB3E655E45EE}"/>
    <cellStyle name="Output 2 4 2 8" xfId="2281" xr:uid="{EC09FD9D-C9CC-4F6D-BF65-90DC6F41BC55}"/>
    <cellStyle name="Output 2 4 2 9" xfId="2375" xr:uid="{62151097-479C-4800-A106-5E15E1CCB6D4}"/>
    <cellStyle name="Output 2 4 3" xfId="850" xr:uid="{407ECDA6-9F83-49B2-A2DA-64FF53A678C0}"/>
    <cellStyle name="Output 2 4 3 2" xfId="1179" xr:uid="{B5933EDE-6638-42FF-AFBC-599249A06264}"/>
    <cellStyle name="Output 2 4 3 3" xfId="1338" xr:uid="{A20F0096-E14B-4CC6-AC37-1FD37938E2AF}"/>
    <cellStyle name="Output 2 4 4" xfId="965" xr:uid="{B0E713FA-2B17-4910-9C61-F4D09032669E}"/>
    <cellStyle name="Output 2 4 4 2" xfId="1284" xr:uid="{D6AEDC3F-9812-42CE-B4E6-CDECA2349AF9}"/>
    <cellStyle name="Output 2 4 4 3" xfId="1429" xr:uid="{348417FB-5979-405F-85E4-DEF5C1EC8AE1}"/>
    <cellStyle name="Output 2 4 5" xfId="1591" xr:uid="{2B457E34-381D-4E2D-9BDF-536B6AF123B4}"/>
    <cellStyle name="Output 2 4 6" xfId="1753" xr:uid="{AD099FFA-7F79-4CD0-8C4E-2580FA27FD11}"/>
    <cellStyle name="Output 2 4 7" xfId="2080" xr:uid="{4B3238A7-512F-45FA-943D-9F99951BF37E}"/>
    <cellStyle name="Output 2 4 8" xfId="1894" xr:uid="{1D6D2C6A-575B-44FC-A945-2249C7234C0C}"/>
    <cellStyle name="Output 2 4 9" xfId="1946" xr:uid="{6A22607D-BAA4-43A3-A284-16DD2BF4C679}"/>
    <cellStyle name="Output 2 5" xfId="741" xr:uid="{00000000-0005-0000-0000-000083020000}"/>
    <cellStyle name="Output 2 5 2" xfId="922" xr:uid="{4205124A-B090-4A93-AB13-290C2042860A}"/>
    <cellStyle name="Output 2 5 2 2" xfId="1247" xr:uid="{4E46D392-BD75-405B-A50D-FDED01F804AE}"/>
    <cellStyle name="Output 2 5 2 3" xfId="1398" xr:uid="{661F5E4E-20F2-4188-BEE6-D631AA8F3463}"/>
    <cellStyle name="Output 2 5 3" xfId="1028" xr:uid="{860AFDBD-6273-49ED-8839-4B4CFBC9C4FA}"/>
    <cellStyle name="Output 2 5 3 2" xfId="1303" xr:uid="{D2A0F359-893E-45D5-A3A8-6F34C0E1AAEE}"/>
    <cellStyle name="Output 2 5 3 3" xfId="1489" xr:uid="{CE36A208-A848-4A66-9200-0C8E52EFCC7F}"/>
    <cellStyle name="Output 2 5 4" xfId="1689" xr:uid="{AA4C29E2-2439-4777-BBC7-5B599E09DF7E}"/>
    <cellStyle name="Output 2 5 5" xfId="1821" xr:uid="{A77C0DB7-7AB7-4968-B5FB-E042A6392969}"/>
    <cellStyle name="Output 2 5 6" xfId="2181" xr:uid="{AA516B75-D988-40F9-8F85-CDDA05649DF9}"/>
    <cellStyle name="Output 2 5 7" xfId="2218" xr:uid="{265EC9A9-21B3-4726-989F-40176A4F5110}"/>
    <cellStyle name="Output 2 5 8" xfId="2314" xr:uid="{56DE78D3-F822-4A00-8126-8E5DA6586CA7}"/>
    <cellStyle name="Output 2 5 9" xfId="2408" xr:uid="{5BA501BD-6F60-4D86-9A27-76A9F02560A6}"/>
    <cellStyle name="Output 2 6" xfId="786" xr:uid="{0CB93D8B-38BB-4F88-A841-09852344DFE5}"/>
    <cellStyle name="Output 2 6 2" xfId="1119" xr:uid="{D7DC4DDB-BDA8-4D26-A0E8-8EB2A17C6F3A}"/>
    <cellStyle name="Output 2 6 3" xfId="1085" xr:uid="{81EC0681-17BF-4E8F-A2C4-E8E2E2B72BCA}"/>
    <cellStyle name="Output 2 7" xfId="839" xr:uid="{0B958424-D271-4DAD-A302-34E09F12D3C6}"/>
    <cellStyle name="Output 2 7 2" xfId="1168" xr:uid="{74D52BAB-32D3-4915-A5A4-20467F24E14D}"/>
    <cellStyle name="Output 2 7 3" xfId="1328" xr:uid="{6F54C40D-DC09-4DA1-B44F-E1092A3606A2}"/>
    <cellStyle name="Output 2 8" xfId="1634" xr:uid="{AFD31820-042F-4D7B-AF78-795098C6139A}"/>
    <cellStyle name="Output 2 9" xfId="1720" xr:uid="{7D53722F-E720-4942-9367-CFBF1FF045C9}"/>
    <cellStyle name="Output 3" xfId="562" xr:uid="{00000000-0005-0000-0000-000084020000}"/>
    <cellStyle name="Output 3 10" xfId="1964" xr:uid="{E5AF7BBB-BC71-4BE8-A012-BDDD9FEC7B53}"/>
    <cellStyle name="Output 3 11" xfId="2001" xr:uid="{B2B2F755-35DA-493D-8832-8F67BC7067DD}"/>
    <cellStyle name="Output 3 12" xfId="2224" xr:uid="{9BE65208-B7F7-40F8-82BD-7CDCDF0DCD93}"/>
    <cellStyle name="Output 3 2" xfId="689" xr:uid="{00000000-0005-0000-0000-000085020000}"/>
    <cellStyle name="Output 3 2 10" xfId="2268" xr:uid="{5E6D8441-C558-41EA-A160-D6ED2C8BBFBF}"/>
    <cellStyle name="Output 3 2 11" xfId="2362" xr:uid="{B74CE4ED-17A3-441A-AEC3-D062D6510EDD}"/>
    <cellStyle name="Output 3 2 2" xfId="764" xr:uid="{00000000-0005-0000-0000-000086020000}"/>
    <cellStyle name="Output 3 2 2 2" xfId="945" xr:uid="{E27C2B61-861E-4FDE-8C53-05E828DCB19A}"/>
    <cellStyle name="Output 3 2 2 2 2" xfId="1269" xr:uid="{4725BDEB-2004-4739-A217-A2FB70272295}"/>
    <cellStyle name="Output 3 2 2 2 3" xfId="1417" xr:uid="{005DCDF9-8670-4696-BB41-781FAFAB53B5}"/>
    <cellStyle name="Output 3 2 2 3" xfId="1047" xr:uid="{738ED4D9-84A2-4147-8BF5-B03D37BA9BC1}"/>
    <cellStyle name="Output 3 2 2 3 2" xfId="1313" xr:uid="{ED49B0AB-3B4F-4B6C-B14B-0154EBE8DDF3}"/>
    <cellStyle name="Output 3 2 2 3 3" xfId="1508" xr:uid="{7BE6F1AE-EE2E-4A09-BDD3-9D1B51B32DBF}"/>
    <cellStyle name="Output 3 2 2 4" xfId="1708" xr:uid="{3068996D-08CB-4893-B528-B17AACF4F09D}"/>
    <cellStyle name="Output 3 2 2 5" xfId="1843" xr:uid="{A1BFC789-B346-4E94-BE8B-A2363958A120}"/>
    <cellStyle name="Output 3 2 2 6" xfId="2196" xr:uid="{F48F6B05-3EDE-462E-876E-F199CE44A98E}"/>
    <cellStyle name="Output 3 2 2 7" xfId="2238" xr:uid="{1ED390AF-58B1-49F8-851E-0765F0869ED2}"/>
    <cellStyle name="Output 3 2 2 8" xfId="2333" xr:uid="{11E3A3D0-874C-4BE5-87EB-E0E3D44BFBD4}"/>
    <cellStyle name="Output 3 2 2 9" xfId="2427" xr:uid="{530F474C-A71C-4BA9-8AC9-8F440EF62497}"/>
    <cellStyle name="Output 3 2 3" xfId="870" xr:uid="{C4737C37-CF96-4820-8052-02DF5B6C72C3}"/>
    <cellStyle name="Output 3 2 3 2" xfId="1198" xr:uid="{544DF081-4508-4710-853B-6CE6832C3FB4}"/>
    <cellStyle name="Output 3 2 3 3" xfId="1354" xr:uid="{D7EDAD7F-75D8-44D0-B05C-E0ACECED33A0}"/>
    <cellStyle name="Output 3 2 4" xfId="982" xr:uid="{C11C1AD0-21D2-47DE-937E-4E4689BB84E0}"/>
    <cellStyle name="Output 3 2 4 2" xfId="1288" xr:uid="{F4028AAE-507C-410A-B3DD-4F671A1101EF}"/>
    <cellStyle name="Output 3 2 4 3" xfId="1445" xr:uid="{62CA71EB-C0BA-4733-ABC3-5A896B7F013B}"/>
    <cellStyle name="Output 3 2 5" xfId="1575" xr:uid="{0E554982-1A34-4CBA-A882-30A5A3F645E2}"/>
    <cellStyle name="Output 3 2 6" xfId="1772" xr:uid="{6EE844A1-796B-48BC-8281-E6FC7FF120B4}"/>
    <cellStyle name="Output 3 2 7" xfId="2099" xr:uid="{61FB0000-C6A2-4AD0-8790-1B67FDFCD13C}"/>
    <cellStyle name="Output 3 2 8" xfId="1876" xr:uid="{AF4460FC-35A6-42E5-9457-80F1D62A0AA8}"/>
    <cellStyle name="Output 3 2 9" xfId="1933" xr:uid="{61087850-C54F-4654-AA42-24E443239366}"/>
    <cellStyle name="Output 3 3" xfId="717" xr:uid="{00000000-0005-0000-0000-000087020000}"/>
    <cellStyle name="Output 3 3 2" xfId="898" xr:uid="{0159CEDA-3819-42FB-B479-00A2103859C3}"/>
    <cellStyle name="Output 3 3 2 2" xfId="1225" xr:uid="{AF35506D-664B-4A8A-8B7E-7267A21F1705}"/>
    <cellStyle name="Output 3 3 2 3" xfId="1379" xr:uid="{3B8D6AD8-3A71-49FA-8194-02BAA5924380}"/>
    <cellStyle name="Output 3 3 3" xfId="1008" xr:uid="{CC8FBBC9-10E1-4E87-9953-C5E80B8214D7}"/>
    <cellStyle name="Output 3 3 3 2" xfId="1296" xr:uid="{605E2B4A-E51D-4D23-8F30-BF74C8C1FB87}"/>
    <cellStyle name="Output 3 3 3 3" xfId="1470" xr:uid="{8F024A20-3B45-4D35-AF58-41A61686ECF0}"/>
    <cellStyle name="Output 3 3 4" xfId="1550" xr:uid="{6EEF1F5B-9ECE-4F2E-9A56-A726488BD3A5}"/>
    <cellStyle name="Output 3 3 5" xfId="1799" xr:uid="{ED1CB77A-D446-4C6A-864A-ACD1E77136D3}"/>
    <cellStyle name="Output 3 3 6" xfId="2049" xr:uid="{61928CDA-F014-4965-AB9F-D8C61F43EC0C}"/>
    <cellStyle name="Output 3 3 7" xfId="1913" xr:uid="{92CE9023-0A39-4FAA-B377-CDC8BE8844B3}"/>
    <cellStyle name="Output 3 3 8" xfId="2294" xr:uid="{1FC1B485-FCCE-4918-B569-19173489E5ED}"/>
    <cellStyle name="Output 3 3 9" xfId="2388" xr:uid="{23BD7895-EBBC-4DB6-AE69-566D9CAA1EF2}"/>
    <cellStyle name="Output 3 4" xfId="831" xr:uid="{ED1C56FC-288A-410C-8011-19928AE497E7}"/>
    <cellStyle name="Output 3 4 2" xfId="1160" xr:uid="{A4F964C8-7221-4CE7-8FD0-0F35B635E3D5}"/>
    <cellStyle name="Output 3 4 3" xfId="1320" xr:uid="{AFEEE400-B9E9-4943-8F48-AEED1E9C91F8}"/>
    <cellStyle name="Output 3 5" xfId="794" xr:uid="{C786F440-891D-48F6-9380-A4F672B93259}"/>
    <cellStyle name="Output 3 5 2" xfId="1127" xr:uid="{E46E08A1-4108-47CF-A803-103251D6D288}"/>
    <cellStyle name="Output 3 5 3" xfId="1077" xr:uid="{F48288E2-8795-4844-9084-9A5960571CF8}"/>
    <cellStyle name="Output 3 6" xfId="1604" xr:uid="{351DDBAA-203A-40AD-A05C-568C309596C5}"/>
    <cellStyle name="Output 3 7" xfId="1739" xr:uid="{3E2EB16D-76DE-4E93-9581-F29AF6B85B56}"/>
    <cellStyle name="Output 3 8" xfId="2027" xr:uid="{8DA1B5E4-B035-4155-B575-85C7B6E62616}"/>
    <cellStyle name="Output 3 9" xfId="1947" xr:uid="{5F656C61-110F-4531-9172-638853D0AF99}"/>
    <cellStyle name="Percent [2]" xfId="563" xr:uid="{00000000-0005-0000-0000-000088020000}"/>
    <cellStyle name="Percent [2] 2" xfId="564" xr:uid="{00000000-0005-0000-0000-000089020000}"/>
    <cellStyle name="Percent 2" xfId="54" xr:uid="{00000000-0005-0000-0000-00008A020000}"/>
    <cellStyle name="Percent 2 2" xfId="55" xr:uid="{00000000-0005-0000-0000-00008B020000}"/>
    <cellStyle name="Percent 2 3" xfId="565" xr:uid="{00000000-0005-0000-0000-00008C020000}"/>
    <cellStyle name="Percent 3" xfId="56" xr:uid="{00000000-0005-0000-0000-00008D020000}"/>
    <cellStyle name="Percent 3 2" xfId="566" xr:uid="{00000000-0005-0000-0000-00008E020000}"/>
    <cellStyle name="Percent 3 3" xfId="567" xr:uid="{00000000-0005-0000-0000-00008F020000}"/>
    <cellStyle name="Percent 4" xfId="568" xr:uid="{00000000-0005-0000-0000-000090020000}"/>
    <cellStyle name="Percent 5" xfId="569" xr:uid="{00000000-0005-0000-0000-000091020000}"/>
    <cellStyle name="Percent 5 2" xfId="570" xr:uid="{00000000-0005-0000-0000-000092020000}"/>
    <cellStyle name="Percent 6" xfId="571" xr:uid="{00000000-0005-0000-0000-000093020000}"/>
    <cellStyle name="PwC" xfId="572" xr:uid="{00000000-0005-0000-0000-000094020000}"/>
    <cellStyle name="PwC 2" xfId="573" xr:uid="{00000000-0005-0000-0000-000095020000}"/>
    <cellStyle name="Standard" xfId="574" xr:uid="{00000000-0005-0000-0000-000096020000}"/>
    <cellStyle name="Style 1" xfId="575" xr:uid="{00000000-0005-0000-0000-000097020000}"/>
    <cellStyle name="Style 1 2" xfId="576" xr:uid="{00000000-0005-0000-0000-000098020000}"/>
    <cellStyle name="subhead" xfId="577" xr:uid="{00000000-0005-0000-0000-000099020000}"/>
    <cellStyle name="Title 2" xfId="57" xr:uid="{00000000-0005-0000-0000-00009A020000}"/>
    <cellStyle name="Title 2 2" xfId="578" xr:uid="{00000000-0005-0000-0000-00009B020000}"/>
    <cellStyle name="Title 2 2 2" xfId="579" xr:uid="{00000000-0005-0000-0000-00009C020000}"/>
    <cellStyle name="Title 2 3" xfId="580" xr:uid="{00000000-0005-0000-0000-00009D020000}"/>
    <cellStyle name="Title 3" xfId="581" xr:uid="{00000000-0005-0000-0000-00009E020000}"/>
    <cellStyle name="Total 2" xfId="58" xr:uid="{00000000-0005-0000-0000-00009F020000}"/>
    <cellStyle name="Total 2 10" xfId="1867" xr:uid="{4888B81A-9E54-4C84-BA68-0D86A4871AF0}"/>
    <cellStyle name="Total 2 11" xfId="2054" xr:uid="{9F6040AC-DE9C-44E9-AB75-4DA008B6C641}"/>
    <cellStyle name="Total 2 12" xfId="2013" xr:uid="{5D0B7772-BE9E-43E2-8437-8A1DD87B4212}"/>
    <cellStyle name="Total 2 13" xfId="1957" xr:uid="{024F7E9F-5CBA-4A39-B230-EDFDDAE258F8}"/>
    <cellStyle name="Total 2 14" xfId="2124" xr:uid="{8C7D87B5-01FF-465F-A17F-D45DC1DDAD46}"/>
    <cellStyle name="Total 2 2" xfId="582" xr:uid="{00000000-0005-0000-0000-0000A0020000}"/>
    <cellStyle name="Total 2 2 10" xfId="1930" xr:uid="{1DC5A97A-6482-4CD3-8089-1345AC81CD01}"/>
    <cellStyle name="Total 2 2 11" xfId="2143" xr:uid="{794A4927-FF4C-4ADF-ADBB-FF0FCEF02E91}"/>
    <cellStyle name="Total 2 2 12" xfId="2176" xr:uid="{D361E191-2086-4F87-8967-51CABE87F3BA}"/>
    <cellStyle name="Total 2 2 13" xfId="2246" xr:uid="{036D8637-C5DA-43EE-A7C4-45A3B342B86F}"/>
    <cellStyle name="Total 2 2 2" xfId="583" xr:uid="{00000000-0005-0000-0000-0000A1020000}"/>
    <cellStyle name="Total 2 2 2 10" xfId="2156" xr:uid="{DCFEE1AC-9E37-4963-8711-ABED618D5364}"/>
    <cellStyle name="Total 2 2 2 11" xfId="2203" xr:uid="{AFFA89F7-65E9-4CFC-ACD8-1992A1377251}"/>
    <cellStyle name="Total 2 2 2 12" xfId="2247" xr:uid="{D65C5684-BA3B-4598-9C92-BC6D27DC88A3}"/>
    <cellStyle name="Total 2 2 2 2" xfId="690" xr:uid="{00000000-0005-0000-0000-0000A2020000}"/>
    <cellStyle name="Total 2 2 2 2 10" xfId="2269" xr:uid="{B2CF709F-1EB0-49A3-A6F7-043140B3335E}"/>
    <cellStyle name="Total 2 2 2 2 11" xfId="2363" xr:uid="{91B35B0E-5DC3-45E7-AB7C-77F55CE6D0AB}"/>
    <cellStyle name="Total 2 2 2 2 2" xfId="765" xr:uid="{00000000-0005-0000-0000-0000A3020000}"/>
    <cellStyle name="Total 2 2 2 2 2 2" xfId="946" xr:uid="{5F90EDDB-14C1-45AA-9FED-55782D868DAA}"/>
    <cellStyle name="Total 2 2 2 2 2 2 2" xfId="1270" xr:uid="{C4F2D384-9381-4B2E-93FC-3C4D86063046}"/>
    <cellStyle name="Total 2 2 2 2 2 2 3" xfId="1418" xr:uid="{66A41267-5A77-406B-AA5A-1B2887D89FC8}"/>
    <cellStyle name="Total 2 2 2 2 2 3" xfId="1048" xr:uid="{694C7E5C-B394-4F7A-88C1-1FD8359D7B77}"/>
    <cellStyle name="Total 2 2 2 2 2 3 2" xfId="1509" xr:uid="{D2B92FD2-D1D7-4D5B-A8FC-C514AA9F71F0}"/>
    <cellStyle name="Total 2 2 2 2 2 4" xfId="1709" xr:uid="{3DEACFE6-A66C-484C-BBE1-925B967E83FA}"/>
    <cellStyle name="Total 2 2 2 2 2 5" xfId="1844" xr:uid="{3B35B31F-3E1F-4593-8CFB-D3C5A795C87A}"/>
    <cellStyle name="Total 2 2 2 2 2 6" xfId="2197" xr:uid="{DA2D413B-8A3B-4CE7-AC52-2A217D07EBB0}"/>
    <cellStyle name="Total 2 2 2 2 2 7" xfId="2239" xr:uid="{72450EB0-F3A7-4BED-934A-D806258F3BF6}"/>
    <cellStyle name="Total 2 2 2 2 2 8" xfId="2334" xr:uid="{1A172798-12DE-4B8C-B183-AD4EFDE04258}"/>
    <cellStyle name="Total 2 2 2 2 2 9" xfId="2428" xr:uid="{C8125CA2-F91A-4EBF-9C60-92AC66D296D6}"/>
    <cellStyle name="Total 2 2 2 2 3" xfId="871" xr:uid="{07A2E8C6-5282-4648-BFCB-8E13EF17CD6E}"/>
    <cellStyle name="Total 2 2 2 2 3 2" xfId="1199" xr:uid="{2537224B-0BFE-4C1F-8897-69AD01F0F25D}"/>
    <cellStyle name="Total 2 2 2 2 3 3" xfId="1355" xr:uid="{59201490-B6B0-4CDF-A5C9-4686ADAF95E9}"/>
    <cellStyle name="Total 2 2 2 2 4" xfId="983" xr:uid="{623209D9-5963-4CFD-B04A-E522352FE3BA}"/>
    <cellStyle name="Total 2 2 2 2 4 2" xfId="1446" xr:uid="{142A8F18-1395-46DE-AF1A-7B14A319FB67}"/>
    <cellStyle name="Total 2 2 2 2 5" xfId="1574" xr:uid="{A49BF67B-232D-461F-8C02-8F0C770E499F}"/>
    <cellStyle name="Total 2 2 2 2 6" xfId="1773" xr:uid="{6FF39E25-75CC-4E97-BB90-8D2C289497E6}"/>
    <cellStyle name="Total 2 2 2 2 7" xfId="2100" xr:uid="{1432474A-3862-4F4D-AD53-60349B61D298}"/>
    <cellStyle name="Total 2 2 2 2 8" xfId="1875" xr:uid="{F9732646-71C1-40FA-A7FB-52F1691F33A2}"/>
    <cellStyle name="Total 2 2 2 2 9" xfId="1932" xr:uid="{7782FD8B-CADC-4F9C-8733-FD0D7D25BABE}"/>
    <cellStyle name="Total 2 2 2 3" xfId="715" xr:uid="{00000000-0005-0000-0000-0000A4020000}"/>
    <cellStyle name="Total 2 2 2 3 2" xfId="896" xr:uid="{8A886E20-044F-42B4-B464-6080A3EB1881}"/>
    <cellStyle name="Total 2 2 2 3 2 2" xfId="1223" xr:uid="{B059FD3D-3AA1-4CCD-AE96-33DE9A01C796}"/>
    <cellStyle name="Total 2 2 2 3 2 3" xfId="1377" xr:uid="{2B2A98A8-2AF3-455E-8B0D-987FE8818360}"/>
    <cellStyle name="Total 2 2 2 3 3" xfId="1006" xr:uid="{658FBD8D-4BE4-4A3C-88F8-2278BB9F6FC1}"/>
    <cellStyle name="Total 2 2 2 3 3 2" xfId="1468" xr:uid="{3BF58D65-A727-4435-890E-EB473F5432DA}"/>
    <cellStyle name="Total 2 2 2 3 4" xfId="1552" xr:uid="{1C2D6752-1E93-4E99-98A0-32CCCA173A3B}"/>
    <cellStyle name="Total 2 2 2 3 5" xfId="1797" xr:uid="{5F5DCD1A-C64E-4F90-A724-E1E4E0335511}"/>
    <cellStyle name="Total 2 2 2 3 6" xfId="2047" xr:uid="{D62508CB-98B4-4E22-A76D-4329E3005CD9}"/>
    <cellStyle name="Total 2 2 2 3 7" xfId="1915" xr:uid="{38F256D3-6208-4439-B61E-830AC0009C90}"/>
    <cellStyle name="Total 2 2 2 3 8" xfId="2292" xr:uid="{B095042B-3F40-45FB-ABEE-54132859B1E5}"/>
    <cellStyle name="Total 2 2 2 3 9" xfId="2386" xr:uid="{4CA13B16-711F-4916-9626-DADCB1785F67}"/>
    <cellStyle name="Total 2 2 2 4" xfId="833" xr:uid="{2BDF03CA-7E21-4466-A239-2E17E76D6C8F}"/>
    <cellStyle name="Total 2 2 2 4 2" xfId="1162" xr:uid="{7283C5F9-01F0-4552-A71D-827429D04169}"/>
    <cellStyle name="Total 2 2 2 4 3" xfId="1322" xr:uid="{552AFEA8-AE66-4438-B837-F83430BF3DB2}"/>
    <cellStyle name="Total 2 2 2 5" xfId="792" xr:uid="{4054C252-F19C-413A-A63D-18119D0273D9}"/>
    <cellStyle name="Total 2 2 2 5 2" xfId="1125" xr:uid="{80C2B991-19E9-4FFA-9D27-3B49EFC55BCA}"/>
    <cellStyle name="Total 2 2 2 5 3" xfId="1079" xr:uid="{EBF31CCD-C344-4302-AB71-7897C8CA8D10}"/>
    <cellStyle name="Total 2 2 2 6" xfId="1602" xr:uid="{4E503D64-C2AB-4EF9-830A-2BB2E5FF357F}"/>
    <cellStyle name="Total 2 2 2 7" xfId="1741" xr:uid="{F3CF609D-5E3C-4233-883E-3AD8D8BCAE2A}"/>
    <cellStyle name="Total 2 2 2 8" xfId="2030" xr:uid="{8FB1DB32-78E6-47FD-9599-E338EC1A96E8}"/>
    <cellStyle name="Total 2 2 2 9" xfId="1929" xr:uid="{49CE4232-698F-4809-A255-818D173C90F1}"/>
    <cellStyle name="Total 2 2 3" xfId="737" xr:uid="{00000000-0005-0000-0000-0000A5020000}"/>
    <cellStyle name="Total 2 2 3 10" xfId="2404" xr:uid="{6AC146ED-058E-4B45-8D9B-D394166DE309}"/>
    <cellStyle name="Total 2 2 3 2" xfId="918" xr:uid="{5FC52BB4-08C9-4F1D-AA8D-19DD28C25FFC}"/>
    <cellStyle name="Total 2 2 3 2 2" xfId="1243" xr:uid="{485B7C36-8CD4-4954-A85A-0505891BD9D8}"/>
    <cellStyle name="Total 2 2 3 2 3" xfId="1394" xr:uid="{5E33C952-AD06-4AE6-B54F-6CFDF35A7D0C}"/>
    <cellStyle name="Total 2 2 3 3" xfId="1024" xr:uid="{F385A875-CF8B-4A05-8CAE-C94A4533F435}"/>
    <cellStyle name="Total 2 2 3 3 2" xfId="1300" xr:uid="{A0D9E9F4-05A8-49BE-8134-56D042BCDE89}"/>
    <cellStyle name="Total 2 2 3 3 3" xfId="1485" xr:uid="{DA5B0C9D-E47F-4303-A0B5-297E3CD2EFF0}"/>
    <cellStyle name="Total 2 2 3 4" xfId="1097" xr:uid="{6DD07620-A8D3-497A-9200-350F898151F6}"/>
    <cellStyle name="Total 2 2 3 5" xfId="1685" xr:uid="{B3513752-2527-453C-9EE7-D6179FB1754C}"/>
    <cellStyle name="Total 2 2 3 6" xfId="1817" xr:uid="{B9631B9A-5A3C-479B-91DE-AF87B51CEEA0}"/>
    <cellStyle name="Total 2 2 3 7" xfId="2177" xr:uid="{22C2CFCA-D6E1-4419-8256-1A69FD705574}"/>
    <cellStyle name="Total 2 2 3 8" xfId="2214" xr:uid="{7B577685-1BE0-4ED2-B034-115B70B86F09}"/>
    <cellStyle name="Total 2 2 3 9" xfId="2310" xr:uid="{D1E36243-441E-4A01-8009-605C231BC9DD}"/>
    <cellStyle name="Total 2 2 4" xfId="716" xr:uid="{00000000-0005-0000-0000-0000A6020000}"/>
    <cellStyle name="Total 2 2 4 2" xfId="897" xr:uid="{7C22E4C2-5D0E-4CD0-8A30-7490D4438BFB}"/>
    <cellStyle name="Total 2 2 4 2 2" xfId="1224" xr:uid="{65849B9E-7F18-4719-B033-58B9ABC19D08}"/>
    <cellStyle name="Total 2 2 4 2 3" xfId="1378" xr:uid="{0FAAE044-1502-44B5-A0F2-0857AA11B24C}"/>
    <cellStyle name="Total 2 2 4 3" xfId="1007" xr:uid="{C131FEFD-801D-4E85-8E1C-2AC7E0CC444E}"/>
    <cellStyle name="Total 2 2 4 3 2" xfId="1295" xr:uid="{53DE2739-B7DF-4A65-A615-3869BFF2B5F3}"/>
    <cellStyle name="Total 2 2 4 3 3" xfId="1469" xr:uid="{B9A415FB-B079-4D94-BE69-9AED22E685E5}"/>
    <cellStyle name="Total 2 2 4 4" xfId="1551" xr:uid="{B2CEAB6E-D08F-4D52-A616-FA2402B1842B}"/>
    <cellStyle name="Total 2 2 4 5" xfId="1798" xr:uid="{FF00F830-0CE8-432E-8103-3E99D49E970F}"/>
    <cellStyle name="Total 2 2 4 6" xfId="2048" xr:uid="{DDD42321-F43F-431F-AB7A-35537E2D823C}"/>
    <cellStyle name="Total 2 2 4 7" xfId="1914" xr:uid="{4B94C362-7F55-4601-BF7B-7EC1E1584A0D}"/>
    <cellStyle name="Total 2 2 4 8" xfId="2293" xr:uid="{1DCB3941-AF32-44A9-9139-8266EAD3BDAF}"/>
    <cellStyle name="Total 2 2 4 9" xfId="2387" xr:uid="{1C791D6B-154E-4DEB-A266-1AA78FF56102}"/>
    <cellStyle name="Total 2 2 5" xfId="832" xr:uid="{EB50F26A-9A41-4B36-9DCA-169A1A195800}"/>
    <cellStyle name="Total 2 2 5 2" xfId="1161" xr:uid="{9C04A0B2-95A2-4C03-902A-661650A5FCB7}"/>
    <cellStyle name="Total 2 2 5 3" xfId="1321" xr:uid="{25E0F668-3B35-44E2-B937-15B5CFE26A22}"/>
    <cellStyle name="Total 2 2 6" xfId="793" xr:uid="{B01287AF-490F-4B8A-81E1-28FBA8D994A5}"/>
    <cellStyle name="Total 2 2 6 2" xfId="1126" xr:uid="{C475DEF9-4621-4626-BC80-96E26425E1EC}"/>
    <cellStyle name="Total 2 2 6 3" xfId="1078" xr:uid="{B9D2AD7C-D53A-4D49-A3B0-139C01E3962E}"/>
    <cellStyle name="Total 2 2 7" xfId="1603" xr:uid="{A845040B-2444-4BC1-A0E7-33F5899447C7}"/>
    <cellStyle name="Total 2 2 8" xfId="1740" xr:uid="{737EB6C8-D7E7-454A-B49F-FA1E5B54FBBA}"/>
    <cellStyle name="Total 2 2 9" xfId="2029" xr:uid="{A0AB99DC-2F8C-447C-BCE4-2477FAB2E383}"/>
    <cellStyle name="Total 2 3" xfId="584" xr:uid="{00000000-0005-0000-0000-0000A7020000}"/>
    <cellStyle name="Total 2 3 10" xfId="2142" xr:uid="{AB9B1F3A-3777-4713-BDCB-AAE1A803A0DE}"/>
    <cellStyle name="Total 2 3 11" xfId="2002" xr:uid="{08F6F5B1-7332-4868-A6D9-D8C6B2F33A41}"/>
    <cellStyle name="Total 2 3 12" xfId="2249" xr:uid="{0BD2BD6D-6B0E-45E7-AADC-333E703E9A5C}"/>
    <cellStyle name="Total 2 3 2" xfId="738" xr:uid="{00000000-0005-0000-0000-0000A8020000}"/>
    <cellStyle name="Total 2 3 2 10" xfId="2405" xr:uid="{0F369331-B344-4B4E-8272-EBCD92C986CD}"/>
    <cellStyle name="Total 2 3 2 2" xfId="919" xr:uid="{A9C57F6B-40E9-4D13-B0CF-09BC685121D1}"/>
    <cellStyle name="Total 2 3 2 2 2" xfId="1244" xr:uid="{93032031-9115-4E43-83B3-78462A58D956}"/>
    <cellStyle name="Total 2 3 2 2 3" xfId="1395" xr:uid="{83EEDD46-F80D-47E8-90CC-2D4FA6660F74}"/>
    <cellStyle name="Total 2 3 2 3" xfId="1025" xr:uid="{05357CE6-69E1-49B5-A100-98BBA2BF9E64}"/>
    <cellStyle name="Total 2 3 2 3 2" xfId="1301" xr:uid="{C4D5E9D4-3764-404F-82CF-08B29936A000}"/>
    <cellStyle name="Total 2 3 2 3 3" xfId="1486" xr:uid="{091FB4FE-06ED-4164-87D3-2E4F9FF7DF3A}"/>
    <cellStyle name="Total 2 3 2 4" xfId="1098" xr:uid="{CEF209EF-E8D2-443E-AE60-C8FC645B1724}"/>
    <cellStyle name="Total 2 3 2 5" xfId="1686" xr:uid="{E1CE5042-D0FC-4CB8-A6B2-6A501C6C5E14}"/>
    <cellStyle name="Total 2 3 2 6" xfId="1818" xr:uid="{47B8AB90-B36E-42DD-A053-5EC280040012}"/>
    <cellStyle name="Total 2 3 2 7" xfId="2178" xr:uid="{13472979-0456-438C-9D43-B01B109AEC1D}"/>
    <cellStyle name="Total 2 3 2 8" xfId="2215" xr:uid="{2623376A-3FBD-4B9C-84F2-625A0EC20D18}"/>
    <cellStyle name="Total 2 3 2 9" xfId="2311" xr:uid="{EB79B9BC-541D-4A76-A48C-694CC41F694A}"/>
    <cellStyle name="Total 2 3 3" xfId="714" xr:uid="{00000000-0005-0000-0000-0000A9020000}"/>
    <cellStyle name="Total 2 3 3 2" xfId="895" xr:uid="{9BC86ABC-1649-4E8D-A9AB-7EF0072D1E38}"/>
    <cellStyle name="Total 2 3 3 2 2" xfId="1222" xr:uid="{85658E2D-0DBD-408A-98D1-F285C972BF4F}"/>
    <cellStyle name="Total 2 3 3 2 3" xfId="1376" xr:uid="{114871B7-54DB-4781-9035-8E2571031203}"/>
    <cellStyle name="Total 2 3 3 3" xfId="1005" xr:uid="{228EBF1E-C1C8-4A56-B2C2-D3ABD04BC1A2}"/>
    <cellStyle name="Total 2 3 3 3 2" xfId="1294" xr:uid="{526F7735-C90A-435B-973A-13D3BE5004E5}"/>
    <cellStyle name="Total 2 3 3 3 3" xfId="1467" xr:uid="{6C0FB79C-9BCB-4D1A-B6A1-4EC8CE1BC15A}"/>
    <cellStyle name="Total 2 3 3 4" xfId="1553" xr:uid="{B725D7F5-6817-4CD5-9B8C-30C75C7F2E3E}"/>
    <cellStyle name="Total 2 3 3 5" xfId="1796" xr:uid="{CE8C17D7-EF59-4A8B-9689-19314BE06059}"/>
    <cellStyle name="Total 2 3 3 6" xfId="2106" xr:uid="{93224928-6EF7-47D9-B637-A100DE986651}"/>
    <cellStyle name="Total 2 3 3 7" xfId="2139" xr:uid="{40FF72E6-BD23-4A7C-BF2D-452E2BAC65D6}"/>
    <cellStyle name="Total 2 3 3 8" xfId="2291" xr:uid="{994F8807-995B-4A2F-9C67-B89BA758E26F}"/>
    <cellStyle name="Total 2 3 3 9" xfId="2385" xr:uid="{3ADC9677-9BAE-4FAA-9217-4A401732FB18}"/>
    <cellStyle name="Total 2 3 4" xfId="834" xr:uid="{71FC0877-095D-41D8-B947-9F2FC85BDD32}"/>
    <cellStyle name="Total 2 3 4 2" xfId="1163" xr:uid="{4AED7E72-9447-4B97-A872-8206EE2B5ED2}"/>
    <cellStyle name="Total 2 3 4 3" xfId="1323" xr:uid="{8F8A1631-6151-46B2-B38F-16E40F02C988}"/>
    <cellStyle name="Total 2 3 5" xfId="791" xr:uid="{DFA817A3-D25E-40FF-9118-9CCE6761B042}"/>
    <cellStyle name="Total 2 3 5 2" xfId="1124" xr:uid="{55B02B1A-CC33-488E-9D22-1BDB09758B2E}"/>
    <cellStyle name="Total 2 3 5 3" xfId="1080" xr:uid="{A65635DC-45D7-4968-AE37-8F50020527A8}"/>
    <cellStyle name="Total 2 3 6" xfId="1601" xr:uid="{46865304-DDE9-4E86-AD6B-2E9A73739E24}"/>
    <cellStyle name="Total 2 3 7" xfId="1742" xr:uid="{A0BC7BA5-FC70-4D87-BAB9-BE79C04453B2}"/>
    <cellStyle name="Total 2 3 8" xfId="2031" xr:uid="{583095B8-D639-4222-A2F5-80AD85EAEFFA}"/>
    <cellStyle name="Total 2 3 9" xfId="1928" xr:uid="{4F61B30E-136B-4B17-AE51-34DCC1A50735}"/>
    <cellStyle name="Total 2 4" xfId="670" xr:uid="{00000000-0005-0000-0000-0000AA020000}"/>
    <cellStyle name="Total 2 4 10" xfId="2252" xr:uid="{048C5F04-FC1E-46F7-BA17-5367427793A6}"/>
    <cellStyle name="Total 2 4 11" xfId="2346" xr:uid="{FE21F919-2CBE-4763-8535-44660F592A0C}"/>
    <cellStyle name="Total 2 4 2" xfId="703" xr:uid="{00000000-0005-0000-0000-0000AB020000}"/>
    <cellStyle name="Total 2 4 2 2" xfId="884" xr:uid="{1A9562DE-5C37-4665-A6A9-BF8C3D8D7BD7}"/>
    <cellStyle name="Total 2 4 2 2 2" xfId="1211" xr:uid="{A4EE6D51-4AB3-4C8F-BF78-60E0D6CDB8E6}"/>
    <cellStyle name="Total 2 4 2 2 3" xfId="1365" xr:uid="{5E1A7B29-D18E-46A0-AC1D-45366D964C15}"/>
    <cellStyle name="Total 2 4 2 3" xfId="994" xr:uid="{27CE3257-AA5E-4D88-9BE5-0A0C1199E188}"/>
    <cellStyle name="Total 2 4 2 3 2" xfId="1456" xr:uid="{F6D1720D-9D6C-4E40-91AF-105AF0C4597A}"/>
    <cellStyle name="Total 2 4 2 4" xfId="1564" xr:uid="{4FF3F690-0FD0-4ACB-8232-58A6CB18E040}"/>
    <cellStyle name="Total 2 4 2 5" xfId="1785" xr:uid="{FDCBDF72-5CA8-4FBD-ADD2-D25122744F31}"/>
    <cellStyle name="Total 2 4 2 6" xfId="2037" xr:uid="{1BE15443-9F77-41C2-975D-55FB49D89A40}"/>
    <cellStyle name="Total 2 4 2 7" xfId="1926" xr:uid="{E6421C74-2AB6-4827-ADD4-24238A7768DB}"/>
    <cellStyle name="Total 2 4 2 8" xfId="2280" xr:uid="{2BEC78B9-DF6F-4434-B82B-BB76B175551C}"/>
    <cellStyle name="Total 2 4 2 9" xfId="2374" xr:uid="{A14BA1B8-1890-44C4-9266-9C4CEE8B30B9}"/>
    <cellStyle name="Total 2 4 3" xfId="851" xr:uid="{BAD27C72-8D5D-40F4-B157-59711389CE57}"/>
    <cellStyle name="Total 2 4 3 2" xfId="1180" xr:uid="{9352F2D6-0A90-4EE9-8D7D-A6D1C3B8338D}"/>
    <cellStyle name="Total 2 4 3 3" xfId="1339" xr:uid="{309E265A-BD4C-45E2-99A9-3C51B5D3267C}"/>
    <cellStyle name="Total 2 4 4" xfId="966" xr:uid="{9D7F2C3C-4331-4783-8E9F-E5A767358869}"/>
    <cellStyle name="Total 2 4 4 2" xfId="1430" xr:uid="{C36B81F4-6C69-4041-8CBB-21F9B99B1201}"/>
    <cellStyle name="Total 2 4 5" xfId="1590" xr:uid="{3D62B02B-8181-4879-BE11-576CE523CE32}"/>
    <cellStyle name="Total 2 4 6" xfId="1754" xr:uid="{84DE5996-8993-4657-863E-F467FFEF616A}"/>
    <cellStyle name="Total 2 4 7" xfId="2081" xr:uid="{E1202980-C356-40D5-8AA8-7900809CC2D9}"/>
    <cellStyle name="Total 2 4 8" xfId="1893" xr:uid="{7BC002B8-ABB1-49B3-AB3F-DD3C0E13055C}"/>
    <cellStyle name="Total 2 4 9" xfId="1945" xr:uid="{88F7CF66-CCE7-4D30-A52E-06DF773C98CA}"/>
    <cellStyle name="Total 2 5" xfId="740" xr:uid="{00000000-0005-0000-0000-0000AC020000}"/>
    <cellStyle name="Total 2 5 2" xfId="921" xr:uid="{2CAA5CA2-0442-4C7D-820B-15B78D4A6DB6}"/>
    <cellStyle name="Total 2 5 2 2" xfId="1246" xr:uid="{819818D9-ED87-4236-B97A-853FDA752B24}"/>
    <cellStyle name="Total 2 5 2 3" xfId="1397" xr:uid="{1ACF73B9-DAE6-4D4F-A3BA-2DB8716FF220}"/>
    <cellStyle name="Total 2 5 3" xfId="1027" xr:uid="{3B4C9337-9DB5-4117-A7B7-99291BD3E53B}"/>
    <cellStyle name="Total 2 5 3 2" xfId="1488" xr:uid="{27252822-DDD4-4B74-B029-FB0DA9FCAB7B}"/>
    <cellStyle name="Total 2 5 4" xfId="1688" xr:uid="{80815573-5E18-42B5-92E7-D316089DBF7A}"/>
    <cellStyle name="Total 2 5 5" xfId="1820" xr:uid="{16022A1D-53FF-4AB2-92DB-6594D1A7BA5D}"/>
    <cellStyle name="Total 2 5 6" xfId="2180" xr:uid="{FD4B9DE7-A46A-4C2C-B5C0-73F28D1F741C}"/>
    <cellStyle name="Total 2 5 7" xfId="2217" xr:uid="{13657BA5-3B50-4DC9-812B-8B65646BFDDC}"/>
    <cellStyle name="Total 2 5 8" xfId="2313" xr:uid="{DE865E80-CB46-4D5E-8D46-8D64539A03D5}"/>
    <cellStyle name="Total 2 5 9" xfId="2407" xr:uid="{F9D50565-870E-4F2E-92CD-AE49A4F58B83}"/>
    <cellStyle name="Total 2 6" xfId="787" xr:uid="{93FB8EC2-084A-4EB3-9065-1F330D258197}"/>
    <cellStyle name="Total 2 6 2" xfId="1120" xr:uid="{B838A039-3377-423A-A28E-0E53F025BB52}"/>
    <cellStyle name="Total 2 6 3" xfId="1084" xr:uid="{93AD67B9-FE6D-4FDB-A829-F01AA60A4AD3}"/>
    <cellStyle name="Total 2 7" xfId="838" xr:uid="{05D1DF63-F6CB-4336-B00A-20C73AD39EE9}"/>
    <cellStyle name="Total 2 7 2" xfId="1167" xr:uid="{8B72F517-5FED-412D-A44E-47D1D3CA1325}"/>
    <cellStyle name="Total 2 7 3" xfId="1327" xr:uid="{4C855C7C-2C4B-49E1-B3AD-8E818701739F}"/>
    <cellStyle name="Total 2 8" xfId="1633" xr:uid="{60356225-9EA8-4F18-BCC3-848EA74E9419}"/>
    <cellStyle name="Total 2 9" xfId="1721" xr:uid="{82A06871-6EC9-422F-9B81-AE1AD6F985C2}"/>
    <cellStyle name="Total 3" xfId="585" xr:uid="{00000000-0005-0000-0000-0000AD020000}"/>
    <cellStyle name="Total 3 10" xfId="2137" xr:uid="{6D3A3416-E882-4F25-B334-DDD864D51DAB}"/>
    <cellStyle name="Total 3 11" xfId="2003" xr:uid="{529287B6-BBBD-4056-8577-C0C866332481}"/>
    <cellStyle name="Total 3 12" xfId="2015" xr:uid="{D9A583C1-95BC-4600-972C-7E0FAC63251F}"/>
    <cellStyle name="Total 3 2" xfId="739" xr:uid="{00000000-0005-0000-0000-0000AE020000}"/>
    <cellStyle name="Total 3 2 10" xfId="2406" xr:uid="{BBDC7DE5-87B8-4F5F-9911-9AD13EC4EC5A}"/>
    <cellStyle name="Total 3 2 2" xfId="920" xr:uid="{3608C766-FF49-46BB-BC71-2DE01EE92948}"/>
    <cellStyle name="Total 3 2 2 2" xfId="1245" xr:uid="{6C6A16F4-F18B-43D5-9350-7ABD4F32C35A}"/>
    <cellStyle name="Total 3 2 2 3" xfId="1396" xr:uid="{5CFC6256-D0FA-424B-A948-0CD4114EF5A0}"/>
    <cellStyle name="Total 3 2 3" xfId="1026" xr:uid="{2BD5819A-301B-47EA-8460-C884EFF0745E}"/>
    <cellStyle name="Total 3 2 3 2" xfId="1302" xr:uid="{452B4BA2-3E1C-4E6E-BF31-D1F1DB6FC93C}"/>
    <cellStyle name="Total 3 2 3 3" xfId="1487" xr:uid="{F0DCA296-BE26-4276-87C7-C6A7A6D4B316}"/>
    <cellStyle name="Total 3 2 4" xfId="1099" xr:uid="{295760E6-F117-4BFE-B33B-4D5C4F1EC7EA}"/>
    <cellStyle name="Total 3 2 5" xfId="1687" xr:uid="{18BC61CF-0949-4017-A7C1-77DB51681F6E}"/>
    <cellStyle name="Total 3 2 6" xfId="1819" xr:uid="{D5467579-11E8-4825-ADB7-CDF7CF0770CD}"/>
    <cellStyle name="Total 3 2 7" xfId="2179" xr:uid="{24347F96-3B0D-4F97-A677-474886B9F3CA}"/>
    <cellStyle name="Total 3 2 8" xfId="2216" xr:uid="{D917F110-107D-4AA2-A7E2-2B88A226D964}"/>
    <cellStyle name="Total 3 2 9" xfId="2312" xr:uid="{E13BDDCD-8987-4F2D-A315-3F9CCC07F4E2}"/>
    <cellStyle name="Total 3 3" xfId="713" xr:uid="{00000000-0005-0000-0000-0000AF020000}"/>
    <cellStyle name="Total 3 3 2" xfId="894" xr:uid="{E823CE72-E9EC-41D2-BEF9-13B8506038A6}"/>
    <cellStyle name="Total 3 3 2 2" xfId="1221" xr:uid="{D2D8E3FC-1C02-4920-B299-F05A2CEA63D8}"/>
    <cellStyle name="Total 3 3 2 3" xfId="1375" xr:uid="{B97EE8B9-78E3-4C72-AEEE-A77B2CEC3C33}"/>
    <cellStyle name="Total 3 3 3" xfId="1004" xr:uid="{6C2FDE85-4686-45D9-A08B-6BD6FA8C5ADB}"/>
    <cellStyle name="Total 3 3 3 2" xfId="1293" xr:uid="{DA96C01B-A019-4FB4-9210-173606D2B0C3}"/>
    <cellStyle name="Total 3 3 3 3" xfId="1466" xr:uid="{9CDFA65C-A077-45EE-A2F4-28AED36A9740}"/>
    <cellStyle name="Total 3 3 4" xfId="1554" xr:uid="{5BAE1F0A-526E-4DD2-853E-4F8ACC6E016D}"/>
    <cellStyle name="Total 3 3 5" xfId="1795" xr:uid="{96B40E25-0BB1-4528-8C84-2DAD8D636CAD}"/>
    <cellStyle name="Total 3 3 6" xfId="2126" xr:uid="{792C0E83-13EE-4C26-9AC6-2B25D3EF4317}"/>
    <cellStyle name="Total 3 3 7" xfId="2159" xr:uid="{FF977463-867F-482B-91EA-A30F25E49A65}"/>
    <cellStyle name="Total 3 3 8" xfId="2290" xr:uid="{50D9712D-4D78-41C3-925D-19989CD51608}"/>
    <cellStyle name="Total 3 3 9" xfId="2384" xr:uid="{A825E089-C4ED-4628-9E90-265AEFAE624B}"/>
    <cellStyle name="Total 3 4" xfId="835" xr:uid="{47636934-0E33-46CB-9596-8BB37C660B14}"/>
    <cellStyle name="Total 3 4 2" xfId="1164" xr:uid="{27580652-7EF6-4B56-A8E7-094EA5F632CA}"/>
    <cellStyle name="Total 3 4 3" xfId="1324" xr:uid="{880B89B6-CF86-4637-87D6-34F3F7C3349E}"/>
    <cellStyle name="Total 3 5" xfId="790" xr:uid="{ACD48448-92BA-45E1-84A8-2903B9B657AE}"/>
    <cellStyle name="Total 3 5 2" xfId="1123" xr:uid="{00748DA0-B161-4048-ADE7-53AD3BD81EAE}"/>
    <cellStyle name="Total 3 5 3" xfId="1081" xr:uid="{D4036989-1B8F-4F77-9EF8-21DFC001AF8E}"/>
    <cellStyle name="Total 3 6" xfId="1600" xr:uid="{924FD25F-7C40-4C04-AD39-3C7344EAE7E6}"/>
    <cellStyle name="Total 3 7" xfId="1743" xr:uid="{F9728466-1E42-46F3-B97F-E59325549508}"/>
    <cellStyle name="Total 3 8" xfId="2032" xr:uid="{F0E0B4F2-CA6B-474F-9460-AC3574C574A0}"/>
    <cellStyle name="Total 3 9" xfId="1927" xr:uid="{0BB6E197-F36D-428C-9419-83896EB1BCB6}"/>
    <cellStyle name="Warning Text 2" xfId="59" xr:uid="{00000000-0005-0000-0000-0000B0020000}"/>
    <cellStyle name="Warning Text 2 2" xfId="586" xr:uid="{00000000-0005-0000-0000-0000B1020000}"/>
    <cellStyle name="Warning Text 2 3" xfId="587" xr:uid="{00000000-0005-0000-0000-0000B2020000}"/>
    <cellStyle name="Warning Text 3" xfId="588" xr:uid="{00000000-0005-0000-0000-0000B3020000}"/>
    <cellStyle name="강조색1" xfId="589" xr:uid="{00000000-0005-0000-0000-0000B4020000}"/>
    <cellStyle name="강조색2" xfId="590" xr:uid="{00000000-0005-0000-0000-0000B5020000}"/>
    <cellStyle name="강조색3" xfId="591" xr:uid="{00000000-0005-0000-0000-0000B6020000}"/>
    <cellStyle name="강조색4" xfId="592" xr:uid="{00000000-0005-0000-0000-0000B7020000}"/>
    <cellStyle name="강조색5" xfId="593" xr:uid="{00000000-0005-0000-0000-0000B8020000}"/>
    <cellStyle name="강조색6" xfId="594" xr:uid="{00000000-0005-0000-0000-0000B9020000}"/>
    <cellStyle name="경고문" xfId="595" xr:uid="{00000000-0005-0000-0000-0000BA020000}"/>
    <cellStyle name="계산" xfId="596" xr:uid="{00000000-0005-0000-0000-0000BB020000}"/>
    <cellStyle name="계산 10" xfId="1916" xr:uid="{F541D9D9-299E-413E-B2B1-20E2C36AD825}"/>
    <cellStyle name="계산 11" xfId="2063" xr:uid="{393E0AA9-8113-4563-8466-20BF4AC34648}"/>
    <cellStyle name="계산 12" xfId="2186" xr:uid="{53ACDBB6-9DFA-4D58-A606-E13A39A4EF50}"/>
    <cellStyle name="계산 13" xfId="1971" xr:uid="{6825155D-B47C-423F-8D84-7E5E666E59BB}"/>
    <cellStyle name="계산 2" xfId="691" xr:uid="{00000000-0005-0000-0000-0000BC020000}"/>
    <cellStyle name="계산 2 10" xfId="2270" xr:uid="{6F51A4E0-7890-48CB-975C-654350C8C864}"/>
    <cellStyle name="계산 2 11" xfId="2364" xr:uid="{E4A8C5F2-7BDC-4FB9-BD05-14B160A9B580}"/>
    <cellStyle name="계산 2 2" xfId="766" xr:uid="{00000000-0005-0000-0000-0000BD020000}"/>
    <cellStyle name="계산 2 2 2" xfId="947" xr:uid="{A4152471-0994-4B43-8AD8-B0BD2868CDC1}"/>
    <cellStyle name="계산 2 2 2 2" xfId="1271" xr:uid="{38FC9A1E-2EDC-46C6-9B23-391AD5BE26E5}"/>
    <cellStyle name="계산 2 2 2 3" xfId="1419" xr:uid="{FB2F2E7E-30FC-435B-8844-F01ED1D6D544}"/>
    <cellStyle name="계산 2 2 3" xfId="1049" xr:uid="{00FB59AF-E5EC-4D5B-B1B1-D877D117B733}"/>
    <cellStyle name="계산 2 2 3 2" xfId="1510" xr:uid="{A6C84F6A-63D7-4F87-BBFC-C23FA19C12C8}"/>
    <cellStyle name="계산 2 2 4" xfId="1710" xr:uid="{47FC2CE2-4A97-419C-8F8B-F14A432882BF}"/>
    <cellStyle name="계산 2 2 5" xfId="1845" xr:uid="{6BE86111-E6DE-4E73-BD1D-86011B54655A}"/>
    <cellStyle name="계산 2 2 6" xfId="2198" xr:uid="{ABBAF9A5-C701-477F-927A-9948919CC28D}"/>
    <cellStyle name="계산 2 2 7" xfId="2240" xr:uid="{EC06A016-195B-4E47-8982-2ACF7009AB6C}"/>
    <cellStyle name="계산 2 2 8" xfId="2335" xr:uid="{2B6E87AD-2464-4268-8F9A-1B7C884E0CE4}"/>
    <cellStyle name="계산 2 2 9" xfId="2429" xr:uid="{993CFB33-9350-482E-AD96-D8772F5E5DD3}"/>
    <cellStyle name="계산 2 3" xfId="872" xr:uid="{871C03AC-C2B6-4592-8F7F-49060B750B8B}"/>
    <cellStyle name="계산 2 3 2" xfId="1200" xr:uid="{0EC4B6C1-C460-4A19-A1C4-230896A4D058}"/>
    <cellStyle name="계산 2 3 3" xfId="1356" xr:uid="{E19FA3C2-6EFB-4AE6-A941-1A6E1F31E974}"/>
    <cellStyle name="계산 2 4" xfId="984" xr:uid="{C362A2D3-A1C2-4079-83C5-D016F1EBC947}"/>
    <cellStyle name="계산 2 4 2" xfId="1447" xr:uid="{9545F611-EC39-4F96-9FC4-4DE70D0C32C0}"/>
    <cellStyle name="계산 2 5" xfId="1573" xr:uid="{A35429FC-95C0-4BD9-ACD5-DF12ADB36081}"/>
    <cellStyle name="계산 2 6" xfId="1774" xr:uid="{ACA341C1-EA35-48DC-834B-D154A5089BEB}"/>
    <cellStyle name="계산 2 7" xfId="2101" xr:uid="{E64531B7-480C-41CF-8802-8A73293051F8}"/>
    <cellStyle name="계산 2 8" xfId="1874" xr:uid="{3DF54803-3D36-4C76-B82F-46169E65EE01}"/>
    <cellStyle name="계산 2 9" xfId="1931" xr:uid="{BD230097-8CE3-40D4-ADEB-EFCC9DB084EF}"/>
    <cellStyle name="계산 3" xfId="712" xr:uid="{00000000-0005-0000-0000-0000BE020000}"/>
    <cellStyle name="계산 3 2" xfId="893" xr:uid="{CC5FAFDD-7D10-4168-85A6-430AB6F96537}"/>
    <cellStyle name="계산 3 2 2" xfId="1220" xr:uid="{DE5B94D1-C523-4367-A726-95EE4821C559}"/>
    <cellStyle name="계산 3 2 3" xfId="1374" xr:uid="{D96EF42C-B499-4A59-AE25-E60E28FE259F}"/>
    <cellStyle name="계산 3 3" xfId="1003" xr:uid="{78FB0BB7-C603-4309-9A25-A665CF5F839C}"/>
    <cellStyle name="계산 3 3 2" xfId="1465" xr:uid="{06315EDB-6034-43C0-BFDF-ED3E6D6E9569}"/>
    <cellStyle name="계산 3 4" xfId="1555" xr:uid="{20031FBE-417A-4A92-AFF7-48761EE2BEFC}"/>
    <cellStyle name="계산 3 5" xfId="1794" xr:uid="{D78A05EF-608C-4E30-A512-031A1D3475CB}"/>
    <cellStyle name="계산 3 6" xfId="2045" xr:uid="{22ECB3B9-134D-45A8-BED0-56719679B942}"/>
    <cellStyle name="계산 3 7" xfId="1917" xr:uid="{FB282948-9686-4ACE-8585-ED27C3973ACD}"/>
    <cellStyle name="계산 3 8" xfId="2289" xr:uid="{8BC2E52C-FFBF-4C4D-BABB-36A2C72E7C81}"/>
    <cellStyle name="계산 3 9" xfId="2383" xr:uid="{82B12874-F575-4D99-809A-1631DF6CCB45}"/>
    <cellStyle name="계산 4" xfId="836" xr:uid="{613DF2F4-4402-42BB-A24A-6DD8B8C1F397}"/>
    <cellStyle name="계산 4 2" xfId="1165" xr:uid="{5AED7E52-3038-4979-82FA-7D5C48C95C5A}"/>
    <cellStyle name="계산 4 3" xfId="1325" xr:uid="{55EDC0E5-55ED-45C3-8D85-D6F22C5B2BDD}"/>
    <cellStyle name="계산 5" xfId="789" xr:uid="{16B14A38-8B8A-4D93-AF8C-BA721986231D}"/>
    <cellStyle name="계산 5 2" xfId="1122" xr:uid="{8FF086C5-5D32-4CAF-A011-56D3F7E848D3}"/>
    <cellStyle name="계산 5 3" xfId="1082" xr:uid="{4142A993-6DAC-4235-B596-759A0751D3A1}"/>
    <cellStyle name="계산 6" xfId="1631" xr:uid="{4CB840B8-F830-4F66-BDA4-FCE2047B08AF}"/>
    <cellStyle name="계산 7" xfId="1599" xr:uid="{9882326F-6259-4606-9EA2-DEA7F5285697}"/>
    <cellStyle name="계산 8" xfId="1744" xr:uid="{6D2F3014-7818-492F-8FAB-BA363789C7EA}"/>
    <cellStyle name="계산 9" xfId="2042" xr:uid="{FEEF71A2-AAED-44C0-A64A-CC5EA52DB1F4}"/>
    <cellStyle name="나쁨" xfId="597" xr:uid="{00000000-0005-0000-0000-0000BF020000}"/>
    <cellStyle name="똿뗦먛귟 [0.00]_PRODUCT DETAIL Q1" xfId="598" xr:uid="{00000000-0005-0000-0000-0000C0020000}"/>
    <cellStyle name="똿뗦먛귟_PRODUCT DETAIL Q1" xfId="599" xr:uid="{00000000-0005-0000-0000-0000C1020000}"/>
    <cellStyle name="메모" xfId="600" xr:uid="{00000000-0005-0000-0000-0000C2020000}"/>
    <cellStyle name="메모 10" xfId="1912" xr:uid="{7B3B0B3D-C6D9-43DD-B010-CC4786C5F7CB}"/>
    <cellStyle name="메모 11" xfId="2074" xr:uid="{819DBA31-7997-4B71-ABE2-F6E94F3F79A4}"/>
    <cellStyle name="메모 12" xfId="2004" xr:uid="{67B51921-B3D9-41E0-8467-416E81342215}"/>
    <cellStyle name="메모 13" xfId="1970" xr:uid="{FF8AE7D3-23D7-47AA-941E-97BD0A13E85F}"/>
    <cellStyle name="메모 2" xfId="692" xr:uid="{00000000-0005-0000-0000-0000C3020000}"/>
    <cellStyle name="메모 2 10" xfId="1873" xr:uid="{7079749A-F7A1-47ED-ADFC-E0CA8044BB9D}"/>
    <cellStyle name="메모 2 11" xfId="2158" xr:uid="{368A298A-3723-421E-BEFD-78E2AB22BA6C}"/>
    <cellStyle name="메모 2 12" xfId="2271" xr:uid="{A6D6A63C-71A4-4ED9-A019-E73A6488646E}"/>
    <cellStyle name="메모 2 13" xfId="2365" xr:uid="{69A7B86C-B2FA-4DCF-9258-4059732D9883}"/>
    <cellStyle name="메모 2 2" xfId="754" xr:uid="{00000000-0005-0000-0000-0000C4020000}"/>
    <cellStyle name="메모 2 2 10" xfId="2228" xr:uid="{8C8331F0-4D52-48D3-9CD9-612865E90BD1}"/>
    <cellStyle name="메모 2 2 11" xfId="2323" xr:uid="{F16B63C3-E9BE-476E-A313-04A81DEC6805}"/>
    <cellStyle name="메모 2 2 12" xfId="2417" xr:uid="{33F47D23-175B-4F66-BAAF-28935235ED5F}"/>
    <cellStyle name="메모 2 2 2" xfId="935" xr:uid="{23F3DD09-3D2E-4C36-BDC0-AC3DA2BC957F}"/>
    <cellStyle name="메모 2 2 2 2" xfId="1259" xr:uid="{C54EE6F8-1969-4509-9935-E7FC42547968}"/>
    <cellStyle name="메모 2 2 2 3" xfId="1407" xr:uid="{6E111D19-CD94-48E3-B759-09ABF4BD11BE}"/>
    <cellStyle name="메모 2 2 3" xfId="1037" xr:uid="{901A0732-BB6A-4895-8662-6BF7906F0E77}"/>
    <cellStyle name="메모 2 2 3 2" xfId="1309" xr:uid="{914E3019-EFA0-4A02-B10F-71CEBD2D2FE7}"/>
    <cellStyle name="메모 2 2 3 3" xfId="1498" xr:uid="{CDF41779-2138-4C98-996B-620637981A28}"/>
    <cellStyle name="메모 2 2 4" xfId="1108" xr:uid="{8E563116-9F0A-4DB1-8EBE-7FAE6C6A510A}"/>
    <cellStyle name="메모 2 2 5" xfId="1663" xr:uid="{7E51AAA4-6C2D-49F2-85E5-068634C73ABB}"/>
    <cellStyle name="메모 2 2 6" xfId="1698" xr:uid="{43925776-B3A8-4321-BAA1-9510B4492E6F}"/>
    <cellStyle name="메모 2 2 7" xfId="1833" xr:uid="{02C18E0B-5FD6-401D-9059-C6FA129F6622}"/>
    <cellStyle name="메모 2 2 8" xfId="2122" xr:uid="{E6BC1C5E-2EE3-439B-A8BE-9CBD0A4EE794}"/>
    <cellStyle name="메모 2 2 9" xfId="2155" xr:uid="{B033328C-DA5D-4CC1-AD8D-4802E52C80BB}"/>
    <cellStyle name="메모 2 3" xfId="767" xr:uid="{00000000-0005-0000-0000-0000C5020000}"/>
    <cellStyle name="메모 2 3 10" xfId="2430" xr:uid="{18CC2CB0-2ED6-4083-A75A-8C71168C4A4B}"/>
    <cellStyle name="메모 2 3 2" xfId="948" xr:uid="{56D5C198-B060-4EB0-91EC-CB1BDC749F33}"/>
    <cellStyle name="메모 2 3 2 2" xfId="1272" xr:uid="{9B18D034-5EA6-4308-A765-BA96324D2FC9}"/>
    <cellStyle name="메모 2 3 2 3" xfId="1420" xr:uid="{79B70143-9D0B-4A47-B8C8-C420A5E65C29}"/>
    <cellStyle name="메모 2 3 3" xfId="1050" xr:uid="{9AC2656C-AA88-4CA7-A7B6-EE5ED217A90B}"/>
    <cellStyle name="메모 2 3 3 2" xfId="1511" xr:uid="{565EDA28-69FB-40F4-861E-DE41A14F985B}"/>
    <cellStyle name="메모 2 3 4" xfId="1667" xr:uid="{A0994729-5AAF-4DEA-AB74-2081FACAD721}"/>
    <cellStyle name="메모 2 3 5" xfId="1711" xr:uid="{F66C32E1-7EB8-4CD0-9BBB-2F300D72C9D0}"/>
    <cellStyle name="메모 2 3 6" xfId="1846" xr:uid="{9219B857-8A6B-467C-BFA2-E800DF111CF1}"/>
    <cellStyle name="메모 2 3 7" xfId="2199" xr:uid="{D2EAA692-1B2C-4FE6-BF39-6A06A97B2D47}"/>
    <cellStyle name="메모 2 3 8" xfId="2241" xr:uid="{4C9E694B-B61C-4D22-AC8F-7EDEBAC502BC}"/>
    <cellStyle name="메모 2 3 9" xfId="2336" xr:uid="{8002B26A-FDFA-4673-B26E-7E35B77D5D8D}"/>
    <cellStyle name="메모 2 4" xfId="873" xr:uid="{C1804DAC-FA81-4326-8110-6BDB5140033E}"/>
    <cellStyle name="메모 2 4 2" xfId="1201" xr:uid="{FA47DC2F-A13C-479D-A940-70F0DF29CF3A}"/>
    <cellStyle name="메모 2 4 3" xfId="1357" xr:uid="{C4EA1A6B-8458-4A2B-8BF5-E246EBA73381}"/>
    <cellStyle name="메모 2 5" xfId="985" xr:uid="{F87F5A15-356D-4965-8703-A7144ED5A865}"/>
    <cellStyle name="메모 2 5 2" xfId="1448" xr:uid="{A0DA09EC-5D7F-4444-A7F2-8BE73EDEBB6B}"/>
    <cellStyle name="메모 2 6" xfId="1646" xr:uid="{CF0A4C0D-416E-484A-8846-3600FC4E4606}"/>
    <cellStyle name="메모 2 7" xfId="1572" xr:uid="{179EDA6E-F0C5-461B-B142-F141A997A18F}"/>
    <cellStyle name="메모 2 8" xfId="1775" xr:uid="{4826C052-8BDB-45A5-A839-9FC1B339D950}"/>
    <cellStyle name="메모 2 9" xfId="2102" xr:uid="{9BD05A8E-5B9F-4678-B2D5-8E8327FAACC5}"/>
    <cellStyle name="메모 3" xfId="711" xr:uid="{00000000-0005-0000-0000-0000C6020000}"/>
    <cellStyle name="메모 3 10" xfId="2382" xr:uid="{6D06BBA8-B4B2-4815-A09C-368668F7582F}"/>
    <cellStyle name="메모 3 2" xfId="892" xr:uid="{34806EF6-0444-4437-8380-B4FE90D97F0C}"/>
    <cellStyle name="메모 3 2 2" xfId="1219" xr:uid="{3A4DD045-9129-4AA4-9E6B-F19D7ABF91FD}"/>
    <cellStyle name="메모 3 2 3" xfId="1373" xr:uid="{4DF232A2-A273-4755-A24A-A20ACF024189}"/>
    <cellStyle name="메모 3 3" xfId="1002" xr:uid="{83703870-0509-4F2A-8A10-E7ECD45B483F}"/>
    <cellStyle name="메모 3 3 2" xfId="1464" xr:uid="{AEFE304A-40ED-459A-9846-E1F0664F4259}"/>
    <cellStyle name="메모 3 4" xfId="1649" xr:uid="{DC1F2CDD-7BD5-4FAB-A1EA-3924DD552407}"/>
    <cellStyle name="메모 3 5" xfId="1556" xr:uid="{F66103F8-E33C-4087-B777-D1AFE0D92CAC}"/>
    <cellStyle name="메모 3 6" xfId="1793" xr:uid="{1E792C50-A41B-4E01-8B01-2D41B36B41C6}"/>
    <cellStyle name="메모 3 7" xfId="2044" xr:uid="{1E9390C2-347A-4791-88A7-F4CA8F304DDF}"/>
    <cellStyle name="메모 3 8" xfId="1918" xr:uid="{12AF1453-256F-46B1-AE0E-0DFB1EA5C14C}"/>
    <cellStyle name="메모 3 9" xfId="2288" xr:uid="{637C3586-9CCE-4CDA-90EB-7EF035807F64}"/>
    <cellStyle name="메모 4" xfId="837" xr:uid="{E9966D3D-9610-4EC2-908B-6C6E36CD2B61}"/>
    <cellStyle name="메모 4 2" xfId="1166" xr:uid="{219695A8-CEFF-49DB-8595-ABA66FBD7ADB}"/>
    <cellStyle name="메모 4 3" xfId="1326" xr:uid="{6552EA17-AFEE-4FC2-89C5-453DCC898AF6}"/>
    <cellStyle name="메모 5" xfId="788" xr:uid="{2371C47B-33B0-4026-BCFB-CE24BCE70C41}"/>
    <cellStyle name="메모 5 2" xfId="1121" xr:uid="{AB94C483-283C-444B-86C4-A22E45595145}"/>
    <cellStyle name="메모 5 3" xfId="1083" xr:uid="{A089F774-06A4-4F4B-B9A2-3AE19E416F3F}"/>
    <cellStyle name="메모 6" xfId="1632" xr:uid="{CBA305C7-CAA2-4CC5-8219-6F332199C6B1}"/>
    <cellStyle name="메모 7" xfId="1598" xr:uid="{BB676809-E32D-42E0-A211-8835B7D75517}"/>
    <cellStyle name="메모 8" xfId="1745" xr:uid="{63A39A24-2C96-4024-ABB5-ACB42AE33D4D}"/>
    <cellStyle name="메모 9" xfId="2046" xr:uid="{441ED9B0-491E-49CE-936C-08C91C7B5182}"/>
    <cellStyle name="믅됞 [0.00]_PRODUCT DETAIL Q1" xfId="601" xr:uid="{00000000-0005-0000-0000-0000C7020000}"/>
    <cellStyle name="믅됞_PRODUCT DETAIL Q1" xfId="602" xr:uid="{00000000-0005-0000-0000-0000C8020000}"/>
    <cellStyle name="백분율 2" xfId="603" xr:uid="{00000000-0005-0000-0000-0000C9020000}"/>
    <cellStyle name="백분율 2 2" xfId="604" xr:uid="{00000000-0005-0000-0000-0000CA020000}"/>
    <cellStyle name="백분율 3" xfId="605" xr:uid="{00000000-0005-0000-0000-0000CB020000}"/>
    <cellStyle name="보통" xfId="606" xr:uid="{00000000-0005-0000-0000-0000CC020000}"/>
    <cellStyle name="뷭?_BOOKSHIP" xfId="607" xr:uid="{00000000-0005-0000-0000-0000CD020000}"/>
    <cellStyle name="설명 텍스트" xfId="608" xr:uid="{00000000-0005-0000-0000-0000CE020000}"/>
    <cellStyle name="셀 확인" xfId="609" xr:uid="{00000000-0005-0000-0000-0000CF020000}"/>
    <cellStyle name="쉼표 [0] 2" xfId="610" xr:uid="{00000000-0005-0000-0000-0000D0020000}"/>
    <cellStyle name="쉼표 [0] 2 2" xfId="611" xr:uid="{00000000-0005-0000-0000-0000D1020000}"/>
    <cellStyle name="쉼표 [0] 2 3" xfId="612" xr:uid="{00000000-0005-0000-0000-0000D2020000}"/>
    <cellStyle name="쉼표 [0] 3" xfId="613" xr:uid="{00000000-0005-0000-0000-0000D3020000}"/>
    <cellStyle name="쉼표 [0] 3 2" xfId="614" xr:uid="{00000000-0005-0000-0000-0000D4020000}"/>
    <cellStyle name="쉼표 [0] 4" xfId="615" xr:uid="{00000000-0005-0000-0000-0000D5020000}"/>
    <cellStyle name="쉼표 [0] 4 2" xfId="616" xr:uid="{00000000-0005-0000-0000-0000D6020000}"/>
    <cellStyle name="쉼표 [0] 5" xfId="617" xr:uid="{00000000-0005-0000-0000-0000D7020000}"/>
    <cellStyle name="쉼표 [0] 5 2" xfId="618" xr:uid="{00000000-0005-0000-0000-0000D8020000}"/>
    <cellStyle name="쉼표 [0] 6" xfId="619" xr:uid="{00000000-0005-0000-0000-0000D9020000}"/>
    <cellStyle name="쉼표 [0]_ann rainfall(CWS)" xfId="620" xr:uid="{00000000-0005-0000-0000-0000DA020000}"/>
    <cellStyle name="쉼표 2" xfId="621" xr:uid="{00000000-0005-0000-0000-0000DB020000}"/>
    <cellStyle name="쉼표 2 2" xfId="622" xr:uid="{00000000-0005-0000-0000-0000DC020000}"/>
    <cellStyle name="쉼표 3" xfId="623" xr:uid="{00000000-0005-0000-0000-0000DD020000}"/>
    <cellStyle name="쉼표 3 2" xfId="624" xr:uid="{00000000-0005-0000-0000-0000DE020000}"/>
    <cellStyle name="쉼표 4" xfId="625" xr:uid="{00000000-0005-0000-0000-0000DF020000}"/>
    <cellStyle name="쉼표 4 2" xfId="626" xr:uid="{00000000-0005-0000-0000-0000E0020000}"/>
    <cellStyle name="쉼표 5" xfId="627" xr:uid="{00000000-0005-0000-0000-0000E1020000}"/>
    <cellStyle name="쉼표 6" xfId="628" xr:uid="{00000000-0005-0000-0000-0000E2020000}"/>
    <cellStyle name="쉼표 7" xfId="629" xr:uid="{00000000-0005-0000-0000-0000E3020000}"/>
    <cellStyle name="쉼표 7 2" xfId="630" xr:uid="{00000000-0005-0000-0000-0000E4020000}"/>
    <cellStyle name="쉼표_ann rainfall(CWS)" xfId="631" xr:uid="{00000000-0005-0000-0000-0000E5020000}"/>
    <cellStyle name="스타일 1" xfId="632" xr:uid="{00000000-0005-0000-0000-0000E6020000}"/>
    <cellStyle name="스타일 1 2" xfId="633" xr:uid="{00000000-0005-0000-0000-0000E7020000}"/>
    <cellStyle name="연결된 셀" xfId="634" xr:uid="{00000000-0005-0000-0000-0000E8020000}"/>
    <cellStyle name="요약" xfId="635" xr:uid="{00000000-0005-0000-0000-0000E9020000}"/>
    <cellStyle name="요약 10" xfId="2161" xr:uid="{8D2452A9-092C-421E-B9EE-6EFCBAE66E96}"/>
    <cellStyle name="요약 11" xfId="2008" xr:uid="{5DD1E3B1-17CF-4B49-8A60-83D30E87432C}"/>
    <cellStyle name="요약 12" xfId="2065" xr:uid="{5142B0A1-C67E-40C1-A8E3-ECC3BE589525}"/>
    <cellStyle name="요약 2" xfId="744" xr:uid="{00000000-0005-0000-0000-0000EA020000}"/>
    <cellStyle name="요약 2 10" xfId="2411" xr:uid="{90A0DA51-0921-4CAE-992D-BB2F589F3EE1}"/>
    <cellStyle name="요약 2 2" xfId="925" xr:uid="{F9558206-ACD5-472E-AD1D-68F9AADE1DF2}"/>
    <cellStyle name="요약 2 2 2" xfId="1250" xr:uid="{B17CD300-7499-4E5C-BA27-62E5E443D998}"/>
    <cellStyle name="요약 2 2 3" xfId="1401" xr:uid="{E04CA11C-8985-4F60-91AD-036A8955EE3A}"/>
    <cellStyle name="요약 2 3" xfId="1031" xr:uid="{7A1FD401-4A1F-4CF8-ABC2-A1BCF73F42FC}"/>
    <cellStyle name="요약 2 3 2" xfId="1304" xr:uid="{7505AE46-66C7-4F62-B67C-6B8B5B6EAC97}"/>
    <cellStyle name="요약 2 3 3" xfId="1492" xr:uid="{6B06E047-78B9-40D9-B0D9-E0FCBD567D0F}"/>
    <cellStyle name="요약 2 4" xfId="1100" xr:uid="{C17A567B-DEE0-414F-9D33-C72E275954DA}"/>
    <cellStyle name="요약 2 5" xfId="1692" xr:uid="{D2E70F28-3938-483C-8E56-E5E2E257D26D}"/>
    <cellStyle name="요약 2 6" xfId="1824" xr:uid="{819E89F1-3F6F-4F33-B991-298F8855F508}"/>
    <cellStyle name="요약 2 7" xfId="2184" xr:uid="{75C716B7-C6EB-4494-A488-535585A0DE71}"/>
    <cellStyle name="요약 2 8" xfId="2221" xr:uid="{F558415E-35EB-4499-8B3D-282FF23BC021}"/>
    <cellStyle name="요약 2 9" xfId="2317" xr:uid="{D8D48DD5-AEA3-472C-80B6-F0292E426383}"/>
    <cellStyle name="요약 3" xfId="710" xr:uid="{00000000-0005-0000-0000-0000EB020000}"/>
    <cellStyle name="요약 3 2" xfId="891" xr:uid="{8C23A5F1-11DC-4E4C-B143-62FAB784986D}"/>
    <cellStyle name="요약 3 2 2" xfId="1218" xr:uid="{582FC621-9207-4522-9ECA-9919AFCC8DC5}"/>
    <cellStyle name="요약 3 2 3" xfId="1372" xr:uid="{70D7252D-7576-4125-AF57-7F54303C9717}"/>
    <cellStyle name="요약 3 3" xfId="1001" xr:uid="{5DD5E859-1007-41DD-A012-05D9AC2604E8}"/>
    <cellStyle name="요약 3 3 2" xfId="1292" xr:uid="{9B39C096-41F8-45CB-A922-A3446311B94D}"/>
    <cellStyle name="요약 3 3 3" xfId="1463" xr:uid="{771092A6-22A9-4A97-A1BD-5CA58154CBA2}"/>
    <cellStyle name="요약 3 4" xfId="1557" xr:uid="{2EA7093D-917C-407F-B19E-367DEFB059BB}"/>
    <cellStyle name="요약 3 5" xfId="1792" xr:uid="{D08821C4-63F1-4039-8517-FA154D50B02F}"/>
    <cellStyle name="요약 3 6" xfId="2043" xr:uid="{897EBC5A-F78F-4AE7-821B-5476C841788D}"/>
    <cellStyle name="요약 3 7" xfId="1919" xr:uid="{EF308A80-BC34-41ED-89CB-694C927704EF}"/>
    <cellStyle name="요약 3 8" xfId="2287" xr:uid="{38712E44-3B36-467B-AD96-C6AB1800ED23}"/>
    <cellStyle name="요약 3 9" xfId="2381" xr:uid="{67A4486D-863E-4657-99A5-BB3ABA4F3DA4}"/>
    <cellStyle name="요약 4" xfId="843" xr:uid="{87E88028-BBF1-42FC-A3CE-20E1721905C0}"/>
    <cellStyle name="요약 4 2" xfId="1172" xr:uid="{EEF6F1AE-0613-4366-B115-85986305FD11}"/>
    <cellStyle name="요약 4 3" xfId="1332" xr:uid="{342F4C47-F0F6-4C39-8B0A-DB69368938B9}"/>
    <cellStyle name="요약 5" xfId="959" xr:uid="{125B6D31-F5A4-4511-98FD-1EE7D3B64725}"/>
    <cellStyle name="요약 5 2" xfId="1281" xr:uid="{F7CAE8AC-DEFC-4970-999E-7C2D656711E1}"/>
    <cellStyle name="요약 5 3" xfId="1423" xr:uid="{70E0DB6E-6075-4687-9A31-27956310F86B}"/>
    <cellStyle name="요약 6" xfId="1597" xr:uid="{520700CC-AD28-4DBC-939D-31A402C9AA93}"/>
    <cellStyle name="요약 7" xfId="1746" xr:uid="{13A71226-1834-4E4F-8D8D-2DFD7AA9B2A7}"/>
    <cellStyle name="요약 8" xfId="2069" xr:uid="{0D1EABBC-495D-450A-9603-744A5BC3404B}"/>
    <cellStyle name="요약 9" xfId="1900" xr:uid="{1026390F-73EF-4A82-BE4F-12A975BF78D8}"/>
    <cellStyle name="입력" xfId="636" xr:uid="{00000000-0005-0000-0000-0000EC020000}"/>
    <cellStyle name="입력 10" xfId="1899" xr:uid="{5D60455A-4999-4B32-99E1-89408331D736}"/>
    <cellStyle name="입력 11" xfId="1955" xr:uid="{5F1247EB-AFF6-4634-89E4-6212432F038C}"/>
    <cellStyle name="입력 12" xfId="1904" xr:uid="{119E354E-A3A0-45BC-8AA1-F4891E5FCF49}"/>
    <cellStyle name="입력 13" xfId="1963" xr:uid="{69EC2F44-52D7-4408-850A-0E0332DD5114}"/>
    <cellStyle name="입력 2" xfId="693" xr:uid="{00000000-0005-0000-0000-0000ED020000}"/>
    <cellStyle name="입력 2 10" xfId="2272" xr:uid="{D0CBD450-F605-4CDE-B939-50EC569A7C03}"/>
    <cellStyle name="입력 2 11" xfId="2366" xr:uid="{AC8B9128-32DB-47BE-8A39-1C44914C1EB7}"/>
    <cellStyle name="입력 2 2" xfId="768" xr:uid="{00000000-0005-0000-0000-0000EE020000}"/>
    <cellStyle name="입력 2 2 2" xfId="949" xr:uid="{08BFE68C-B250-4B71-BA71-A7506F20DCF3}"/>
    <cellStyle name="입력 2 2 2 2" xfId="1273" xr:uid="{92A1BFEB-D62E-415D-9D5D-7D6DAE183B2B}"/>
    <cellStyle name="입력 2 2 2 3" xfId="1421" xr:uid="{7C1997F5-030D-495E-84A2-A1717AC70EDF}"/>
    <cellStyle name="입력 2 2 3" xfId="1051" xr:uid="{9F12ED38-3682-4314-8B75-06BAA56249C8}"/>
    <cellStyle name="입력 2 2 3 2" xfId="1512" xr:uid="{28FCC2BC-50F2-4438-A19A-F24DF6F8F85C}"/>
    <cellStyle name="입력 2 2 4" xfId="1712" xr:uid="{0D3DCF2E-0B25-4BC0-A39A-10513CD8A3B3}"/>
    <cellStyle name="입력 2 2 5" xfId="1847" xr:uid="{8D8F9E50-540D-4774-BD44-D713748DF630}"/>
    <cellStyle name="입력 2 2 6" xfId="2200" xr:uid="{73598953-491C-4A26-8714-EDFA6669FE8F}"/>
    <cellStyle name="입력 2 2 7" xfId="2242" xr:uid="{F8C0DC58-57A6-422A-99C8-155AE6B462F0}"/>
    <cellStyle name="입력 2 2 8" xfId="2337" xr:uid="{4F710080-9486-4B16-A5EC-71BC1880569F}"/>
    <cellStyle name="입력 2 2 9" xfId="2431" xr:uid="{715F0CD6-0F08-4B35-B215-33352476D26A}"/>
    <cellStyle name="입력 2 3" xfId="874" xr:uid="{E1A635C0-0413-4D48-AA80-FC62802FCA98}"/>
    <cellStyle name="입력 2 3 2" xfId="1202" xr:uid="{778E5B70-DE65-4900-9E82-ECFBE351A05F}"/>
    <cellStyle name="입력 2 3 3" xfId="1358" xr:uid="{9A14FC3C-AB20-4105-8205-3A9E6E9EDFBB}"/>
    <cellStyle name="입력 2 4" xfId="986" xr:uid="{D6391004-935C-4778-90E3-C17FB84E5A67}"/>
    <cellStyle name="입력 2 4 2" xfId="1449" xr:uid="{46D241DA-6D1F-4A20-97F7-B28640141006}"/>
    <cellStyle name="입력 2 5" xfId="1571" xr:uid="{B021C13C-5F71-4360-BD61-F1D5355D32C6}"/>
    <cellStyle name="입력 2 6" xfId="1776" xr:uid="{D8B8361C-E9B3-4951-9C28-40BD7A51134A}"/>
    <cellStyle name="입력 2 7" xfId="2103" xr:uid="{00937AF9-AF7B-48EA-9180-06003415FCDD}"/>
    <cellStyle name="입력 2 8" xfId="1872" xr:uid="{6449EC1E-00FB-48D2-AF04-B7915A40F6A7}"/>
    <cellStyle name="입력 2 9" xfId="2141" xr:uid="{7CBCA8C8-6ED1-4C53-88D1-0EA8368A9640}"/>
    <cellStyle name="입력 3" xfId="709" xr:uid="{00000000-0005-0000-0000-0000EF020000}"/>
    <cellStyle name="입력 3 2" xfId="890" xr:uid="{4873C8F2-868F-4903-91B1-75FC400CFE7E}"/>
    <cellStyle name="입력 3 2 2" xfId="1217" xr:uid="{ADA665B0-B64E-41B4-8138-BC410D189AF3}"/>
    <cellStyle name="입력 3 2 3" xfId="1371" xr:uid="{BB18080C-DE0E-46A5-85D6-49A03BBA93C4}"/>
    <cellStyle name="입력 3 3" xfId="1000" xr:uid="{A297A4CD-CA72-44BB-82C4-99D16220D687}"/>
    <cellStyle name="입력 3 3 2" xfId="1462" xr:uid="{EFB1CC9B-95D3-4918-AD79-5F1684B56C73}"/>
    <cellStyle name="입력 3 4" xfId="1558" xr:uid="{32CDAC36-BF55-4886-BE12-7967046B1E6A}"/>
    <cellStyle name="입력 3 5" xfId="1791" xr:uid="{6CED090F-ADC6-485B-A689-0E0AF9C4CD99}"/>
    <cellStyle name="입력 3 6" xfId="2107" xr:uid="{9A511D2A-6126-4D3A-9350-03806251A881}"/>
    <cellStyle name="입력 3 7" xfId="1920" xr:uid="{8B657B29-83A2-4D2A-A709-D51455DC17B0}"/>
    <cellStyle name="입력 3 8" xfId="2286" xr:uid="{37B58FB9-F5C7-4119-BCC6-D5922C8D661C}"/>
    <cellStyle name="입력 3 9" xfId="2380" xr:uid="{55176D71-F51C-4FF8-BBCF-85642F7606D1}"/>
    <cellStyle name="입력 4" xfId="844" xr:uid="{68C9AFA2-0E21-4A33-8947-62664A4A0413}"/>
    <cellStyle name="입력 4 2" xfId="1173" xr:uid="{9B4A477E-7E66-4F9E-B47F-8F5BD4CCC9B4}"/>
    <cellStyle name="입력 4 3" xfId="1333" xr:uid="{F39BA019-212C-48A6-AC56-463854DEC5D4}"/>
    <cellStyle name="입력 5" xfId="960" xr:uid="{6715BEA0-B38F-4E69-A249-4B997218F595}"/>
    <cellStyle name="입력 5 2" xfId="1282" xr:uid="{95BDEECD-174A-4B78-9E2A-9F3130D2BC11}"/>
    <cellStyle name="입력 5 3" xfId="1424" xr:uid="{86673D17-8DF1-4974-85BC-77943E4FB5C5}"/>
    <cellStyle name="입력 6" xfId="1637" xr:uid="{73E7BBBA-D6E7-482E-AF14-A1AA51C7009E}"/>
    <cellStyle name="입력 7" xfId="1596" xr:uid="{F1F6E999-94D5-4A09-9BFB-7182BD1A3B13}"/>
    <cellStyle name="입력 8" xfId="1747" xr:uid="{7C66B7B0-712B-4549-B2AE-338179B73D78}"/>
    <cellStyle name="입력 9" xfId="2070" xr:uid="{04AD94D7-3CEB-4A2D-83C9-628DEA63763E}"/>
    <cellStyle name="자리수0" xfId="637" xr:uid="{00000000-0005-0000-0000-0000F0020000}"/>
    <cellStyle name="제목" xfId="638" xr:uid="{00000000-0005-0000-0000-0000F1020000}"/>
    <cellStyle name="제목 1" xfId="639" xr:uid="{00000000-0005-0000-0000-0000F2020000}"/>
    <cellStyle name="제목 2" xfId="640" xr:uid="{00000000-0005-0000-0000-0000F3020000}"/>
    <cellStyle name="제목 3" xfId="641" xr:uid="{00000000-0005-0000-0000-0000F4020000}"/>
    <cellStyle name="제목 4" xfId="642" xr:uid="{00000000-0005-0000-0000-0000F5020000}"/>
    <cellStyle name="제목_2009 실적 및 2010년 계획(최원석)------------------------------------0926" xfId="643" xr:uid="{00000000-0005-0000-0000-0000F6020000}"/>
    <cellStyle name="좋음" xfId="644" xr:uid="{00000000-0005-0000-0000-0000F7020000}"/>
    <cellStyle name="출력" xfId="645" xr:uid="{00000000-0005-0000-0000-0000F8020000}"/>
    <cellStyle name="출력 10" xfId="1954" xr:uid="{71426D38-B541-49E3-B3AA-E588A4B03DD1}"/>
    <cellStyle name="출력 11" xfId="1861" xr:uid="{F7341138-4A95-4F22-9F4A-20AF20C0D8F9}"/>
    <cellStyle name="출력 12" xfId="2162" xr:uid="{1B716B39-92C8-4B23-A7D3-8C9BC7D83883}"/>
    <cellStyle name="출력 2" xfId="694" xr:uid="{00000000-0005-0000-0000-0000F9020000}"/>
    <cellStyle name="출력 2 10" xfId="2273" xr:uid="{38D0579D-EF9A-4499-91BC-163CFF9E6838}"/>
    <cellStyle name="출력 2 11" xfId="2367" xr:uid="{7376AE03-9355-4618-B0C3-949D73FB0964}"/>
    <cellStyle name="출력 2 2" xfId="769" xr:uid="{00000000-0005-0000-0000-0000FA020000}"/>
    <cellStyle name="출력 2 2 2" xfId="950" xr:uid="{DAAA79CD-08ED-4B4F-8938-B46A855F9E96}"/>
    <cellStyle name="출력 2 2 2 2" xfId="1274" xr:uid="{F6B5114E-A375-4881-8E3E-D31BE4BCA783}"/>
    <cellStyle name="출력 2 2 2 3" xfId="1422" xr:uid="{01001961-743F-4870-915B-A0C25489A951}"/>
    <cellStyle name="출력 2 2 3" xfId="1052" xr:uid="{F2143542-D197-4CFD-8971-9A47AB7CB907}"/>
    <cellStyle name="출력 2 2 3 2" xfId="1314" xr:uid="{8457CA95-B65D-4A9B-A77B-7D82FBA04BF8}"/>
    <cellStyle name="출력 2 2 3 3" xfId="1513" xr:uid="{9CD23FF2-4D11-42D3-98DA-691C57BC0C76}"/>
    <cellStyle name="출력 2 2 4" xfId="1713" xr:uid="{EA178587-91C5-4F8C-8243-FF86EDC7188F}"/>
    <cellStyle name="출력 2 2 5" xfId="1848" xr:uid="{D5116D02-D5C3-4F62-8B07-6971B676512B}"/>
    <cellStyle name="출력 2 2 6" xfId="2201" xr:uid="{23687405-D9FB-4ECC-BB18-B0D37E7E8B97}"/>
    <cellStyle name="출력 2 2 7" xfId="2243" xr:uid="{A1AB5FD9-EEE8-4846-A6FE-550AFD9CE02F}"/>
    <cellStyle name="출력 2 2 8" xfId="2338" xr:uid="{A4B3C9CB-0692-4522-9824-18E6045CD6D9}"/>
    <cellStyle name="출력 2 2 9" xfId="2432" xr:uid="{32010240-1CCF-401B-8D2B-4B17B56956CD}"/>
    <cellStyle name="출력 2 3" xfId="875" xr:uid="{52E67852-5E73-4181-BC58-3A1E53B3C190}"/>
    <cellStyle name="출력 2 3 2" xfId="1203" xr:uid="{7FE6E182-3CAA-4B26-B975-28C5D42958FB}"/>
    <cellStyle name="출력 2 3 3" xfId="1359" xr:uid="{B3C77BEF-5908-43E6-9797-097491EFFEA6}"/>
    <cellStyle name="출력 2 4" xfId="987" xr:uid="{802D28EE-A86A-497A-B5E4-2EB33B544BF2}"/>
    <cellStyle name="출력 2 4 2" xfId="1289" xr:uid="{0BC6FBCF-C0CA-45AA-A082-F85664CD7B5C}"/>
    <cellStyle name="출력 2 4 3" xfId="1450" xr:uid="{5E701EC3-9E3C-4C81-801A-5F443A35010D}"/>
    <cellStyle name="출력 2 5" xfId="1570" xr:uid="{D8245F09-383D-4328-BB4C-E56C2713D95C}"/>
    <cellStyle name="출력 2 6" xfId="1777" xr:uid="{C4861B8C-DD95-4CA7-9FB8-15494767C6ED}"/>
    <cellStyle name="출력 2 7" xfId="2104" xr:uid="{64E57000-CE3C-4427-9C62-841CCF3035A6}"/>
    <cellStyle name="출력 2 8" xfId="1871" xr:uid="{032983F0-E6DC-4993-8219-16FBB4D97115}"/>
    <cellStyle name="출력 2 9" xfId="2145" xr:uid="{96FB55D1-5765-4724-9942-BE7EF6963B73}"/>
    <cellStyle name="출력 3" xfId="708" xr:uid="{00000000-0005-0000-0000-0000FB020000}"/>
    <cellStyle name="출력 3 2" xfId="889" xr:uid="{7160088A-7EC5-44ED-BBED-9DA6C58B0C1F}"/>
    <cellStyle name="출력 3 2 2" xfId="1216" xr:uid="{F07E0C83-D3EF-4B95-8834-5005AB806E5D}"/>
    <cellStyle name="출력 3 2 3" xfId="1370" xr:uid="{05885A0F-67DA-49A7-AF50-D0E7864CC3EA}"/>
    <cellStyle name="출력 3 3" xfId="999" xr:uid="{8EC8E978-6E2B-40AF-962B-EF41FE1B3430}"/>
    <cellStyle name="출력 3 3 2" xfId="1291" xr:uid="{D8F3A122-36ED-49BB-B807-36FABBC80855}"/>
    <cellStyle name="출력 3 3 3" xfId="1461" xr:uid="{4D667C69-24C7-457C-BA67-12BA46701F51}"/>
    <cellStyle name="출력 3 4" xfId="1559" xr:uid="{0112CE3C-74F4-42F2-B378-7733262B1DB7}"/>
    <cellStyle name="출력 3 5" xfId="1790" xr:uid="{CF3C6BBA-8D03-4D2F-B807-80D571B663A1}"/>
    <cellStyle name="출력 3 6" xfId="2125" xr:uid="{1EB16413-761A-4806-A9F0-336C3BD88A1F}"/>
    <cellStyle name="출력 3 7" xfId="1921" xr:uid="{5B1AE26C-C4C5-4184-AC3D-0F9D7307E54B}"/>
    <cellStyle name="출력 3 8" xfId="2285" xr:uid="{73591ED6-D075-4D4C-8009-309869CB2495}"/>
    <cellStyle name="출력 3 9" xfId="2379" xr:uid="{483EBA97-E85A-4C4A-8943-4620F39E661B}"/>
    <cellStyle name="출력 4" xfId="845" xr:uid="{96105B76-36E0-4898-AF97-07E7B42AC92D}"/>
    <cellStyle name="출력 4 2" xfId="1174" xr:uid="{C776151F-F7FB-4E4A-8E17-DEE2529D6EFC}"/>
    <cellStyle name="출력 4 3" xfId="1334" xr:uid="{DF308CF9-2A85-4071-A76B-58BFA116FB3C}"/>
    <cellStyle name="출력 5" xfId="961" xr:uid="{3D71C888-510C-4F74-BE1E-DBF7BA9509E8}"/>
    <cellStyle name="출력 5 2" xfId="1283" xr:uid="{5F69A763-16B0-4925-B560-6C864C6DA7CE}"/>
    <cellStyle name="출력 5 3" xfId="1425" xr:uid="{0C60EE8E-5897-46FD-A283-19A707C9EFD2}"/>
    <cellStyle name="출력 6" xfId="1595" xr:uid="{D6D8C472-0A44-4705-9E9B-3D506FC9CDA4}"/>
    <cellStyle name="출력 7" xfId="1748" xr:uid="{062D0EDC-621D-4C94-ACF9-4D41C447A645}"/>
    <cellStyle name="출력 8" xfId="2073" xr:uid="{42158152-BC7C-4943-A03F-EEB461F6038F}"/>
    <cellStyle name="출력 9" xfId="1898" xr:uid="{D2733051-4905-41BE-A449-7123DA7C3673}"/>
    <cellStyle name="콤마 [0]_  종  합  " xfId="646" xr:uid="{00000000-0005-0000-0000-0000FC020000}"/>
    <cellStyle name="콤마_  종  합  " xfId="647" xr:uid="{00000000-0005-0000-0000-0000FD020000}"/>
    <cellStyle name="표준 2" xfId="648" xr:uid="{00000000-0005-0000-0000-0000FE020000}"/>
    <cellStyle name="표준 2 2" xfId="649" xr:uid="{00000000-0005-0000-0000-0000FF020000}"/>
    <cellStyle name="표준 2 2 2" xfId="650" xr:uid="{00000000-0005-0000-0000-000000030000}"/>
    <cellStyle name="표준 2 3" xfId="651" xr:uid="{00000000-0005-0000-0000-000001030000}"/>
    <cellStyle name="표준 2 3 2" xfId="652" xr:uid="{00000000-0005-0000-0000-000002030000}"/>
    <cellStyle name="표준 2 4" xfId="653" xr:uid="{00000000-0005-0000-0000-000003030000}"/>
    <cellStyle name="표준 2_엔지니어링시행 예가산출20090826" xfId="654" xr:uid="{00000000-0005-0000-0000-000004030000}"/>
    <cellStyle name="표준 3" xfId="655" xr:uid="{00000000-0005-0000-0000-000005030000}"/>
    <cellStyle name="표준 3 2" xfId="656" xr:uid="{00000000-0005-0000-0000-000006030000}"/>
    <cellStyle name="표준 3 3" xfId="657" xr:uid="{00000000-0005-0000-0000-000007030000}"/>
    <cellStyle name="표준 4" xfId="658" xr:uid="{00000000-0005-0000-0000-000008030000}"/>
    <cellStyle name="표준 5" xfId="659" xr:uid="{00000000-0005-0000-0000-000009030000}"/>
    <cellStyle name="표준 6" xfId="660" xr:uid="{00000000-0005-0000-0000-00000A030000}"/>
    <cellStyle name="표준 7" xfId="661" xr:uid="{00000000-0005-0000-0000-00000B030000}"/>
    <cellStyle name="표준 8" xfId="662" xr:uid="{00000000-0005-0000-0000-00000C030000}"/>
    <cellStyle name="표준_00-3양식" xfId="663" xr:uid="{00000000-0005-0000-0000-00000D030000}"/>
  </cellStyles>
  <dxfs count="5">
    <dxf>
      <fill>
        <patternFill>
          <bgColor indexed="26"/>
        </patternFill>
      </fill>
    </dxf>
    <dxf>
      <fill>
        <patternFill>
          <bgColor indexed="26"/>
        </patternFill>
      </fill>
    </dxf>
    <dxf>
      <fill>
        <patternFill>
          <bgColor indexed="26"/>
        </patternFill>
      </fill>
    </dxf>
    <dxf>
      <fill>
        <patternFill>
          <bgColor indexed="26"/>
        </patternFill>
      </fill>
    </dxf>
    <dxf>
      <fill>
        <patternFill>
          <bgColor indexed="26"/>
        </patternFill>
      </fill>
    </dxf>
  </dxf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EFF7FF"/>
      <rgbColor rgb="00F3FFF3"/>
      <rgbColor rgb="00FFFFC8"/>
      <rgbColor rgb="00ECECEC"/>
      <rgbColor rgb="00FF99CC"/>
      <rgbColor rgb="00CC99FF"/>
      <rgbColor rgb="00FFF2E5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4DE600"/>
      <color rgb="FF271DF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0</xdr:row>
      <xdr:rowOff>63500</xdr:rowOff>
    </xdr:from>
    <xdr:to>
      <xdr:col>3</xdr:col>
      <xdr:colOff>12700</xdr:colOff>
      <xdr:row>3</xdr:row>
      <xdr:rowOff>15259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" y="63500"/>
          <a:ext cx="2286000" cy="52325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62596</xdr:colOff>
      <xdr:row>512</xdr:row>
      <xdr:rowOff>141404</xdr:rowOff>
    </xdr:from>
    <xdr:to>
      <xdr:col>15</xdr:col>
      <xdr:colOff>209552</xdr:colOff>
      <xdr:row>515</xdr:row>
      <xdr:rowOff>4749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E0CE2E-F8BB-4076-A901-8C3DBED5E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68596" y="61006154"/>
          <a:ext cx="1670956" cy="3776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426</xdr:row>
      <xdr:rowOff>28575</xdr:rowOff>
    </xdr:from>
    <xdr:to>
      <xdr:col>4</xdr:col>
      <xdr:colOff>228057</xdr:colOff>
      <xdr:row>441</xdr:row>
      <xdr:rowOff>62015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0E657A-D1AC-4E5E-BBA6-1C29ACF46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" y="62903100"/>
          <a:ext cx="2371182" cy="28909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0</xdr:rowOff>
    </xdr:from>
    <xdr:to>
      <xdr:col>9</xdr:col>
      <xdr:colOff>224666</xdr:colOff>
      <xdr:row>322</xdr:row>
      <xdr:rowOff>3055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6D45A61-FE2A-4F27-BFB7-00935F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6863000"/>
          <a:ext cx="4510916" cy="30510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399</xdr:row>
      <xdr:rowOff>0</xdr:rowOff>
    </xdr:from>
    <xdr:to>
      <xdr:col>7</xdr:col>
      <xdr:colOff>17472</xdr:colOff>
      <xdr:row>411</xdr:row>
      <xdr:rowOff>125261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9F0B76-EDDB-41AF-A767-51B1291B1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7721500"/>
          <a:ext cx="3484572" cy="24112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372</xdr:row>
      <xdr:rowOff>0</xdr:rowOff>
    </xdr:from>
    <xdr:to>
      <xdr:col>9</xdr:col>
      <xdr:colOff>367197</xdr:colOff>
      <xdr:row>385</xdr:row>
      <xdr:rowOff>89559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762F02D-131D-441C-B498-00C0BB3C0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2578000"/>
          <a:ext cx="4653447" cy="25660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55</xdr:row>
      <xdr:rowOff>9525</xdr:rowOff>
    </xdr:from>
    <xdr:to>
      <xdr:col>15</xdr:col>
      <xdr:colOff>85725</xdr:colOff>
      <xdr:row>78</xdr:row>
      <xdr:rowOff>78463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8B6FE1-C397-32E4-28A5-1F4869D21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" y="8610600"/>
          <a:ext cx="7200900" cy="445043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118</xdr:row>
      <xdr:rowOff>2395</xdr:rowOff>
    </xdr:from>
    <xdr:to>
      <xdr:col>15</xdr:col>
      <xdr:colOff>514350</xdr:colOff>
      <xdr:row>146</xdr:row>
      <xdr:rowOff>104775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24DB26-702D-6079-47B6-95A1507AD2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5393545"/>
          <a:ext cx="8277225" cy="5436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73</xdr:row>
      <xdr:rowOff>0</xdr:rowOff>
    </xdr:from>
    <xdr:to>
      <xdr:col>15</xdr:col>
      <xdr:colOff>481814</xdr:colOff>
      <xdr:row>101</xdr:row>
      <xdr:rowOff>85282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970E4E-4F09-45E8-985C-9650909F1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353800"/>
          <a:ext cx="7635089" cy="541928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SKIM\&#44592;&#54925;02\DJ\HN\EXCEL\97PLAN\98PLAN\98PLAN.XLW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hpark\samindo2\Documents%20and%20Settings\&#51109;&#50689;&#48276;\Local%20Settings\Temporary%20Internet%20Files\Content.IE5\TUKNZDKL\2003-03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98PLAN(10-13)"/>
      <sheetName val="98인건비"/>
      <sheetName val="98퇴충"/>
      <sheetName val="98년차.XLS"/>
      <sheetName val="97PL실적.XLS"/>
      <sheetName val="팀별경비.XLS"/>
      <sheetName val="팀별관리.XLS"/>
      <sheetName val="손익계획보고"/>
      <sheetName val="기본구도.XLS"/>
      <sheetName val="자금계획보고"/>
      <sheetName val="기본구도대비"/>
      <sheetName val="출장비.XLS"/>
      <sheetName val="계획서"/>
      <sheetName val="97환율영향.XLS"/>
      <sheetName val="97자금.XLS"/>
      <sheetName val="환차이익.XLS"/>
      <sheetName val="98인원계획"/>
      <sheetName val="Ref.3(8111200)"/>
      <sheetName val="Redisturb area"/>
      <sheetName val="Tbl 14 Planting implementa"/>
      <sheetName val="OMCo Labor"/>
      <sheetName val="BS-RTI"/>
      <sheetName val="List"/>
      <sheetName val="UPAH&amp;BHN"/>
      <sheetName val="DCOST"/>
      <sheetName val="Laporan"/>
      <sheetName val="일정표"/>
      <sheetName val="UNI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/>
      <sheetData sheetId="27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xxxxxx"/>
      <sheetName val="0000"/>
      <sheetName val="COSTSALES"/>
      <sheetName val="DCOST"/>
      <sheetName val="MCOST1"/>
      <sheetName val="MCOST2"/>
      <sheetName val="BS01"/>
      <sheetName val="BS02"/>
      <sheetName val="PL1"/>
      <sheetName val="PL"/>
      <sheetName val="9.22"/>
      <sheetName val="7.8"/>
      <sheetName val="bni(rp)"/>
      <sheetName val="bni($)"/>
      <sheetName val="bpd(rp)"/>
      <sheetName val="cash"/>
      <sheetName val="kebd(rp)"/>
      <sheetName val="kebd($)"/>
      <sheetName val="KAMPAR"/>
      <sheetName val="I"/>
      <sheetName val="II"/>
      <sheetName val="III"/>
      <sheetName val="Tabel Top Soil"/>
      <sheetName val="BKJ"/>
      <sheetName val="TMCT"/>
      <sheetName val="recap(sm)"/>
      <sheetName val="SIEMBA"/>
      <sheetName val="APM"/>
      <sheetName val="BKP"/>
      <sheetName val="COA"/>
      <sheetName val="JKT경비"/>
      <sheetName val="SILICATE"/>
      <sheetName val="2003-03"/>
      <sheetName val="전제조건"/>
      <sheetName val="CTA"/>
      <sheetName val="SBS"/>
      <sheetName val="기획팀 의견"/>
      <sheetName val="SBS Tug &amp; Bg. 입거수리계획"/>
      <sheetName val="29a"/>
      <sheetName val="29b"/>
      <sheetName val="29d"/>
      <sheetName val="29e"/>
      <sheetName val="29f"/>
      <sheetName val="29g"/>
      <sheetName val="Production RKAB 2017"/>
      <sheetName val="FS"/>
      <sheetName val="ABP"/>
      <sheetName val="FS Report"/>
      <sheetName val="MB Capex 2017 "/>
      <sheetName val="Tax Actual + Plan 2017"/>
      <sheetName val="Tax Actual 2017"/>
      <sheetName val="Tax Planning 2017"/>
      <sheetName val="Laporan"/>
      <sheetName val="일정표"/>
    </sheetNames>
    <sheetDataSet>
      <sheetData sheetId="0"/>
      <sheetData sheetId="1"/>
      <sheetData sheetId="2"/>
      <sheetData sheetId="3"/>
      <sheetData sheetId="4" refreshError="1">
        <row r="64">
          <cell r="A64" t="str">
            <v>DEPARTMENTAL COSTING IN JAN~MAR' 03</v>
          </cell>
        </row>
        <row r="67">
          <cell r="D67" t="str">
            <v>ROM COAL(1)</v>
          </cell>
          <cell r="F67" t="str">
            <v>COAL PRODUCTION TON (2)</v>
          </cell>
          <cell r="J67">
            <v>3259904</v>
          </cell>
          <cell r="K67" t="str">
            <v>M/T</v>
          </cell>
          <cell r="N67" t="str">
            <v>TOTAL (3)=(1)+(2)</v>
          </cell>
          <cell r="P67" t="str">
            <v>ADMINISTRATION (4)</v>
          </cell>
          <cell r="R67" t="str">
            <v>TOTAL PRO. COST</v>
          </cell>
          <cell r="T67" t="str">
            <v>PREPAID</v>
          </cell>
          <cell r="U67" t="str">
            <v>ENVIRONMENT</v>
          </cell>
          <cell r="V67" t="str">
            <v>T/PRODUCTION</v>
          </cell>
        </row>
        <row r="68">
          <cell r="B68" t="str">
            <v>DESCRIPTION</v>
          </cell>
          <cell r="D68">
            <v>3224565</v>
          </cell>
          <cell r="E68" t="str">
            <v>M/T</v>
          </cell>
          <cell r="F68" t="str">
            <v xml:space="preserve">       CRUSHING</v>
          </cell>
          <cell r="H68" t="str">
            <v>TRANSPORTATION</v>
          </cell>
          <cell r="J68" t="str">
            <v xml:space="preserve">  STOCK PILE (T/M)</v>
          </cell>
          <cell r="L68" t="str">
            <v xml:space="preserve">      SUB TOTAL</v>
          </cell>
          <cell r="R68" t="str">
            <v>BEF. ALLOCATION</v>
          </cell>
          <cell r="T68" t="str">
            <v>(NORTH A)</v>
          </cell>
          <cell r="U68" t="str">
            <v>COST</v>
          </cell>
          <cell r="V68" t="str">
            <v>COST AFTER</v>
          </cell>
        </row>
        <row r="69">
          <cell r="D69" t="str">
            <v>AMOUNT</v>
          </cell>
          <cell r="E69" t="str">
            <v>U$/T</v>
          </cell>
          <cell r="F69" t="str">
            <v>AMOUNT</v>
          </cell>
          <cell r="G69" t="str">
            <v>U$/T</v>
          </cell>
          <cell r="H69" t="str">
            <v>AMOUNT</v>
          </cell>
          <cell r="I69" t="str">
            <v>U$/T</v>
          </cell>
          <cell r="J69" t="str">
            <v>AMOUNT</v>
          </cell>
          <cell r="K69" t="str">
            <v>U$/T</v>
          </cell>
          <cell r="L69" t="str">
            <v>AMOUNT</v>
          </cell>
          <cell r="M69" t="str">
            <v>U$/T</v>
          </cell>
          <cell r="N69" t="str">
            <v>AMOUNT</v>
          </cell>
          <cell r="O69" t="str">
            <v>U$/T</v>
          </cell>
          <cell r="P69" t="str">
            <v>AMOUNT</v>
          </cell>
          <cell r="Q69" t="str">
            <v>U$/T</v>
          </cell>
          <cell r="R69" t="str">
            <v>AMOUNT</v>
          </cell>
          <cell r="S69" t="str">
            <v>U$/T</v>
          </cell>
          <cell r="T69" t="str">
            <v>WASTE</v>
          </cell>
          <cell r="V69" t="str">
            <v>ALLOCATION</v>
          </cell>
        </row>
        <row r="70">
          <cell r="A70" t="str">
            <v>MATERIAL</v>
          </cell>
          <cell r="B70" t="str">
            <v>FUEL &amp; OIL</v>
          </cell>
          <cell r="D70">
            <v>1466167.96</v>
          </cell>
          <cell r="E70">
            <v>0.45</v>
          </cell>
          <cell r="F70">
            <v>306571.48000000004</v>
          </cell>
          <cell r="G70">
            <v>0.09</v>
          </cell>
          <cell r="H70">
            <v>215401.97999999998</v>
          </cell>
          <cell r="I70">
            <v>7.0000000000000007E-2</v>
          </cell>
          <cell r="J70">
            <v>854747.29</v>
          </cell>
          <cell r="K70">
            <v>0.26</v>
          </cell>
          <cell r="L70">
            <v>1376720.75</v>
          </cell>
          <cell r="M70">
            <v>0.42000000000000004</v>
          </cell>
          <cell r="N70">
            <v>2842888.71</v>
          </cell>
          <cell r="O70">
            <v>0.87000000000000011</v>
          </cell>
          <cell r="P70">
            <v>12361.2</v>
          </cell>
          <cell r="Q70">
            <v>3.8221195767782945E-3</v>
          </cell>
          <cell r="R70">
            <v>2855249.91</v>
          </cell>
          <cell r="S70">
            <v>0.87382211957677836</v>
          </cell>
          <cell r="V70">
            <v>2855249.91</v>
          </cell>
          <cell r="W70">
            <v>0.87586932314571231</v>
          </cell>
        </row>
        <row r="71">
          <cell r="B71" t="str">
            <v>CHEMICAL &amp; RUBBER</v>
          </cell>
          <cell r="D71">
            <v>160715.45000000001</v>
          </cell>
          <cell r="E71">
            <v>0.05</v>
          </cell>
          <cell r="F71">
            <v>1056.3499999999999</v>
          </cell>
          <cell r="G71">
            <v>0</v>
          </cell>
          <cell r="H71">
            <v>115290.95</v>
          </cell>
          <cell r="I71">
            <v>0.04</v>
          </cell>
          <cell r="J71">
            <v>3986.69</v>
          </cell>
          <cell r="K71">
            <v>0</v>
          </cell>
          <cell r="L71">
            <v>120333.99</v>
          </cell>
          <cell r="M71">
            <v>0.04</v>
          </cell>
          <cell r="N71">
            <v>281049.44</v>
          </cell>
          <cell r="O71">
            <v>0.09</v>
          </cell>
          <cell r="P71">
            <v>5036.4499999999989</v>
          </cell>
          <cell r="Q71">
            <v>1.5572852265528455E-3</v>
          </cell>
          <cell r="R71">
            <v>286085.89</v>
          </cell>
          <cell r="S71">
            <v>9.1557285226552848E-2</v>
          </cell>
          <cell r="V71">
            <v>286085.89</v>
          </cell>
          <cell r="W71">
            <v>8.7758992289343488E-2</v>
          </cell>
        </row>
        <row r="72">
          <cell r="B72" t="str">
            <v>HEAVY EQUIP. S/PART</v>
          </cell>
          <cell r="D72">
            <v>189551.75000000003</v>
          </cell>
          <cell r="E72">
            <v>0.06</v>
          </cell>
          <cell r="F72">
            <v>0</v>
          </cell>
          <cell r="G72">
            <v>0</v>
          </cell>
          <cell r="H72">
            <v>53677.06</v>
          </cell>
          <cell r="I72">
            <v>0.02</v>
          </cell>
          <cell r="J72">
            <v>27223.34</v>
          </cell>
          <cell r="K72">
            <v>0.01</v>
          </cell>
          <cell r="L72">
            <v>80900.399999999994</v>
          </cell>
          <cell r="M72">
            <v>0.03</v>
          </cell>
          <cell r="N72">
            <v>270452.15000000002</v>
          </cell>
          <cell r="O72">
            <v>0.09</v>
          </cell>
          <cell r="P72">
            <v>1752.4</v>
          </cell>
          <cell r="Q72">
            <v>5.4184725967918021E-4</v>
          </cell>
          <cell r="R72">
            <v>272204.55000000005</v>
          </cell>
          <cell r="S72">
            <v>9.0541847259679176E-2</v>
          </cell>
          <cell r="V72">
            <v>272204.55000000005</v>
          </cell>
          <cell r="W72">
            <v>8.3500787139744001E-2</v>
          </cell>
        </row>
        <row r="73">
          <cell r="B73" t="str">
            <v>METAL PRODUCT</v>
          </cell>
          <cell r="D73">
            <v>909.17000000000007</v>
          </cell>
          <cell r="E73">
            <v>0</v>
          </cell>
          <cell r="F73">
            <v>1166.48</v>
          </cell>
          <cell r="G73">
            <v>0</v>
          </cell>
          <cell r="H73">
            <v>4.84</v>
          </cell>
          <cell r="I73">
            <v>0</v>
          </cell>
          <cell r="J73">
            <v>4266.8999999999996</v>
          </cell>
          <cell r="K73">
            <v>0</v>
          </cell>
          <cell r="L73">
            <v>5438.2199999999993</v>
          </cell>
          <cell r="M73">
            <v>0</v>
          </cell>
          <cell r="N73">
            <v>6347.3899999999994</v>
          </cell>
          <cell r="O73">
            <v>0</v>
          </cell>
          <cell r="P73">
            <v>410.54999999999995</v>
          </cell>
          <cell r="Q73">
            <v>1.2694327348852284E-4</v>
          </cell>
          <cell r="R73">
            <v>6757.94</v>
          </cell>
          <cell r="S73">
            <v>1.2694327348852284E-4</v>
          </cell>
          <cell r="V73">
            <v>6757.94</v>
          </cell>
          <cell r="W73">
            <v>2.0730487768964973E-3</v>
          </cell>
        </row>
        <row r="74">
          <cell r="B74" t="str">
            <v>BUILDING MATERIAL</v>
          </cell>
          <cell r="D74">
            <v>393.52000000000004</v>
          </cell>
          <cell r="E74">
            <v>0</v>
          </cell>
          <cell r="F74">
            <v>0</v>
          </cell>
          <cell r="G74">
            <v>0</v>
          </cell>
          <cell r="H74">
            <v>32.650000000000006</v>
          </cell>
          <cell r="I74">
            <v>0</v>
          </cell>
          <cell r="J74">
            <v>3.11</v>
          </cell>
          <cell r="K74">
            <v>0</v>
          </cell>
          <cell r="L74">
            <v>35.760000000000005</v>
          </cell>
          <cell r="M74">
            <v>0</v>
          </cell>
          <cell r="N74">
            <v>429.28000000000003</v>
          </cell>
          <cell r="O74">
            <v>0</v>
          </cell>
          <cell r="P74">
            <v>1099.02</v>
          </cell>
          <cell r="Q74">
            <v>3.3982023244271434E-4</v>
          </cell>
          <cell r="R74">
            <v>1528.3</v>
          </cell>
          <cell r="S74">
            <v>3.3982023244271434E-4</v>
          </cell>
          <cell r="V74">
            <v>1528.3</v>
          </cell>
          <cell r="W74">
            <v>4.6881748664991363E-4</v>
          </cell>
        </row>
        <row r="75">
          <cell r="B75" t="str">
            <v>MACHINARY S/PART</v>
          </cell>
          <cell r="D75">
            <v>1466.8700000000001</v>
          </cell>
          <cell r="E75">
            <v>0</v>
          </cell>
          <cell r="F75">
            <v>2438.7599999999998</v>
          </cell>
          <cell r="G75">
            <v>0</v>
          </cell>
          <cell r="H75">
            <v>235.12</v>
          </cell>
          <cell r="I75">
            <v>0</v>
          </cell>
          <cell r="J75">
            <v>16339.2</v>
          </cell>
          <cell r="K75">
            <v>0.01</v>
          </cell>
          <cell r="L75">
            <v>19013.080000000002</v>
          </cell>
          <cell r="M75">
            <v>0.01</v>
          </cell>
          <cell r="N75">
            <v>20479.95</v>
          </cell>
          <cell r="O75">
            <v>0.01</v>
          </cell>
          <cell r="P75">
            <v>377.54</v>
          </cell>
          <cell r="Q75">
            <v>1.1673648391878436E-4</v>
          </cell>
          <cell r="R75">
            <v>20857.490000000002</v>
          </cell>
          <cell r="S75">
            <v>1.0116736483918785E-2</v>
          </cell>
          <cell r="V75">
            <v>20857.490000000002</v>
          </cell>
          <cell r="W75">
            <v>6.3981914804853157E-3</v>
          </cell>
        </row>
        <row r="76">
          <cell r="B76" t="str">
            <v>ELECTRICITY</v>
          </cell>
          <cell r="D76">
            <v>4227.2700000000004</v>
          </cell>
          <cell r="E76">
            <v>0</v>
          </cell>
          <cell r="F76">
            <v>2447.5700000000002</v>
          </cell>
          <cell r="G76">
            <v>0</v>
          </cell>
          <cell r="H76">
            <v>1210.06</v>
          </cell>
          <cell r="I76">
            <v>0</v>
          </cell>
          <cell r="J76">
            <v>1559.3399999999997</v>
          </cell>
          <cell r="K76">
            <v>0</v>
          </cell>
          <cell r="L76">
            <v>5216.9699999999993</v>
          </cell>
          <cell r="M76">
            <v>0</v>
          </cell>
          <cell r="N76">
            <v>9444.24</v>
          </cell>
          <cell r="O76">
            <v>0</v>
          </cell>
          <cell r="P76">
            <v>4215.92</v>
          </cell>
          <cell r="Q76">
            <v>1.3035749252605852E-3</v>
          </cell>
          <cell r="R76">
            <v>13660.16</v>
          </cell>
          <cell r="S76">
            <v>1.3035749252605852E-3</v>
          </cell>
          <cell r="V76">
            <v>13660.16</v>
          </cell>
          <cell r="W76">
            <v>4.1903565258363433E-3</v>
          </cell>
        </row>
        <row r="77">
          <cell r="B77" t="str">
            <v>TOOL &amp; FURNITURE</v>
          </cell>
          <cell r="D77">
            <v>827.6</v>
          </cell>
          <cell r="E77">
            <v>0</v>
          </cell>
          <cell r="F77">
            <v>1523.3199999999997</v>
          </cell>
          <cell r="G77">
            <v>0</v>
          </cell>
          <cell r="H77">
            <v>35</v>
          </cell>
          <cell r="I77">
            <v>0</v>
          </cell>
          <cell r="J77">
            <v>769.34999999999991</v>
          </cell>
          <cell r="K77">
            <v>0</v>
          </cell>
          <cell r="L77">
            <v>2327.6699999999996</v>
          </cell>
          <cell r="M77">
            <v>0</v>
          </cell>
          <cell r="N77">
            <v>3155.2699999999995</v>
          </cell>
          <cell r="O77">
            <v>0</v>
          </cell>
          <cell r="P77">
            <v>48.46</v>
          </cell>
          <cell r="Q77">
            <v>1.4983975236277719E-5</v>
          </cell>
          <cell r="R77">
            <v>3203.7299999999996</v>
          </cell>
          <cell r="S77">
            <v>1.4983975236277719E-5</v>
          </cell>
          <cell r="V77">
            <v>3203.7299999999996</v>
          </cell>
          <cell r="W77">
            <v>9.8276820421705664E-4</v>
          </cell>
        </row>
        <row r="78">
          <cell r="B78" t="str">
            <v>CONSUMABLE MATERIAL</v>
          </cell>
          <cell r="D78">
            <v>1913.6699999999998</v>
          </cell>
          <cell r="E78">
            <v>0</v>
          </cell>
          <cell r="F78">
            <v>556.16999999999996</v>
          </cell>
          <cell r="G78">
            <v>0</v>
          </cell>
          <cell r="H78">
            <v>2158.7200000000003</v>
          </cell>
          <cell r="I78">
            <v>0</v>
          </cell>
          <cell r="J78">
            <v>1802.94</v>
          </cell>
          <cell r="K78">
            <v>0</v>
          </cell>
          <cell r="L78">
            <v>4517.83</v>
          </cell>
          <cell r="M78">
            <v>0</v>
          </cell>
          <cell r="N78">
            <v>6431.5</v>
          </cell>
          <cell r="O78">
            <v>0</v>
          </cell>
          <cell r="P78">
            <v>14434.95</v>
          </cell>
          <cell r="Q78">
            <v>4.4633292062919326E-3</v>
          </cell>
          <cell r="R78">
            <v>20866.45</v>
          </cell>
          <cell r="S78">
            <v>4.4633292062919326E-3</v>
          </cell>
          <cell r="V78">
            <v>20866.45</v>
          </cell>
          <cell r="W78">
            <v>6.4009400276817969E-3</v>
          </cell>
        </row>
        <row r="79">
          <cell r="B79" t="str">
            <v>BLASTING MATERIAL</v>
          </cell>
          <cell r="D79">
            <v>618471.64999999991</v>
          </cell>
          <cell r="E79">
            <v>0.19</v>
          </cell>
          <cell r="F79">
            <v>0</v>
          </cell>
          <cell r="G79">
            <v>0</v>
          </cell>
          <cell r="H79">
            <v>0</v>
          </cell>
          <cell r="I79">
            <v>0</v>
          </cell>
          <cell r="J79">
            <v>0</v>
          </cell>
          <cell r="K79">
            <v>0</v>
          </cell>
          <cell r="L79">
            <v>0</v>
          </cell>
          <cell r="M79">
            <v>0</v>
          </cell>
          <cell r="N79">
            <v>618471.64999999991</v>
          </cell>
          <cell r="O79">
            <v>0.19</v>
          </cell>
          <cell r="P79">
            <v>0</v>
          </cell>
          <cell r="Q79">
            <v>0</v>
          </cell>
          <cell r="R79">
            <v>618471.64999999991</v>
          </cell>
          <cell r="S79">
            <v>0.19</v>
          </cell>
          <cell r="V79">
            <v>618471.64999999991</v>
          </cell>
          <cell r="W79">
            <v>0.18972081693203233</v>
          </cell>
        </row>
        <row r="80">
          <cell r="B80" t="str">
            <v xml:space="preserve">  ( SUB-TOTAL )</v>
          </cell>
          <cell r="D80">
            <v>2444644.91</v>
          </cell>
          <cell r="E80">
            <v>0.75</v>
          </cell>
          <cell r="F80">
            <v>315760.13</v>
          </cell>
          <cell r="G80">
            <v>0.09</v>
          </cell>
          <cell r="H80">
            <v>388046.38</v>
          </cell>
          <cell r="I80">
            <v>0.13</v>
          </cell>
          <cell r="J80">
            <v>910698.1599999998</v>
          </cell>
          <cell r="K80">
            <v>0.28000000000000003</v>
          </cell>
          <cell r="L80">
            <v>1614504.67</v>
          </cell>
          <cell r="M80">
            <v>0.5</v>
          </cell>
          <cell r="N80">
            <v>4059149.58</v>
          </cell>
          <cell r="O80">
            <v>1.25</v>
          </cell>
          <cell r="P80">
            <v>39736.490000000005</v>
          </cell>
          <cell r="Q80">
            <v>1.2286640159649139E-2</v>
          </cell>
          <cell r="R80">
            <v>4098886.0700000008</v>
          </cell>
          <cell r="S80">
            <v>1.2622866401596491</v>
          </cell>
          <cell r="T80">
            <v>0</v>
          </cell>
          <cell r="U80">
            <v>0</v>
          </cell>
          <cell r="V80">
            <v>4098886.0700000008</v>
          </cell>
          <cell r="W80">
            <v>1.2573640420085992</v>
          </cell>
        </row>
        <row r="81">
          <cell r="A81" t="str">
            <v>LABOUR</v>
          </cell>
          <cell r="B81" t="str">
            <v>SALARIES</v>
          </cell>
          <cell r="D81">
            <v>87868</v>
          </cell>
          <cell r="E81">
            <v>0.03</v>
          </cell>
          <cell r="F81">
            <v>70769</v>
          </cell>
          <cell r="G81">
            <v>0.02</v>
          </cell>
          <cell r="H81">
            <v>0</v>
          </cell>
          <cell r="I81">
            <v>0</v>
          </cell>
          <cell r="J81">
            <v>57945</v>
          </cell>
          <cell r="K81">
            <v>0.02</v>
          </cell>
          <cell r="L81">
            <v>128714</v>
          </cell>
          <cell r="M81">
            <v>0.04</v>
          </cell>
          <cell r="N81">
            <v>216582</v>
          </cell>
          <cell r="O81">
            <v>7.0000000000000007E-2</v>
          </cell>
          <cell r="P81">
            <v>203332</v>
          </cell>
          <cell r="Q81">
            <v>6.2870855401213802E-2</v>
          </cell>
          <cell r="R81">
            <v>419914</v>
          </cell>
          <cell r="S81">
            <v>0.13287085540121379</v>
          </cell>
          <cell r="V81">
            <v>419914</v>
          </cell>
          <cell r="W81">
            <v>0.12881176869012093</v>
          </cell>
        </row>
        <row r="82">
          <cell r="D82">
            <v>43142.62</v>
          </cell>
          <cell r="E82">
            <v>0.01</v>
          </cell>
          <cell r="F82">
            <v>8741.23</v>
          </cell>
          <cell r="G82">
            <v>0</v>
          </cell>
          <cell r="H82">
            <v>3863.66</v>
          </cell>
          <cell r="I82">
            <v>0</v>
          </cell>
          <cell r="J82">
            <v>22168.960000000003</v>
          </cell>
          <cell r="K82">
            <v>0.01</v>
          </cell>
          <cell r="L82">
            <v>34773.850000000006</v>
          </cell>
          <cell r="M82">
            <v>0.01</v>
          </cell>
          <cell r="N82">
            <v>77916.47</v>
          </cell>
          <cell r="O82">
            <v>0.02</v>
          </cell>
          <cell r="P82">
            <v>40859.64</v>
          </cell>
          <cell r="Q82">
            <v>1.2633921459414414E-2</v>
          </cell>
          <cell r="R82">
            <v>118776.11</v>
          </cell>
          <cell r="S82">
            <v>3.2633921459414413E-2</v>
          </cell>
          <cell r="V82">
            <v>118776.11</v>
          </cell>
          <cell r="W82">
            <v>3.6435462516687611E-2</v>
          </cell>
        </row>
        <row r="83">
          <cell r="B83" t="str">
            <v>WAGES</v>
          </cell>
          <cell r="C83" t="str">
            <v>INDONESIAN</v>
          </cell>
          <cell r="D83">
            <v>48324.39</v>
          </cell>
          <cell r="E83">
            <v>0.01</v>
          </cell>
          <cell r="F83">
            <v>43741.229999999996</v>
          </cell>
          <cell r="G83">
            <v>0.01</v>
          </cell>
          <cell r="H83">
            <v>33364.47</v>
          </cell>
          <cell r="I83">
            <v>0.01</v>
          </cell>
          <cell r="J83">
            <v>77978.700000000012</v>
          </cell>
          <cell r="K83">
            <v>0.02</v>
          </cell>
          <cell r="L83">
            <v>155084.40000000002</v>
          </cell>
          <cell r="M83">
            <v>0.04</v>
          </cell>
          <cell r="N83">
            <v>203408.79000000004</v>
          </cell>
          <cell r="O83">
            <v>0.05</v>
          </cell>
          <cell r="P83">
            <v>84215.03</v>
          </cell>
          <cell r="Q83">
            <v>2.6039536195674475E-2</v>
          </cell>
          <cell r="R83">
            <v>287623.82000000007</v>
          </cell>
          <cell r="S83">
            <v>7.6039536195674481E-2</v>
          </cell>
          <cell r="V83">
            <v>287623.82000000007</v>
          </cell>
          <cell r="W83">
            <v>8.8230763850714641E-2</v>
          </cell>
        </row>
        <row r="84">
          <cell r="B84" t="str">
            <v>BONUS</v>
          </cell>
          <cell r="D84">
            <v>0</v>
          </cell>
          <cell r="E84">
            <v>0</v>
          </cell>
          <cell r="F84">
            <v>0</v>
          </cell>
          <cell r="G84">
            <v>0</v>
          </cell>
          <cell r="H84">
            <v>0</v>
          </cell>
          <cell r="I84">
            <v>0</v>
          </cell>
          <cell r="J84">
            <v>0</v>
          </cell>
          <cell r="K84">
            <v>0</v>
          </cell>
          <cell r="L84">
            <v>0</v>
          </cell>
          <cell r="M84">
            <v>0</v>
          </cell>
          <cell r="N84">
            <v>0</v>
          </cell>
          <cell r="O84">
            <v>0</v>
          </cell>
          <cell r="P84">
            <v>0</v>
          </cell>
          <cell r="Q84">
            <v>0</v>
          </cell>
          <cell r="R84">
            <v>0</v>
          </cell>
          <cell r="S84">
            <v>0</v>
          </cell>
          <cell r="V84">
            <v>0</v>
          </cell>
          <cell r="W84">
            <v>0</v>
          </cell>
        </row>
        <row r="85">
          <cell r="D85">
            <v>0</v>
          </cell>
          <cell r="E85">
            <v>0</v>
          </cell>
          <cell r="F85">
            <v>0</v>
          </cell>
          <cell r="G85">
            <v>0</v>
          </cell>
          <cell r="H85">
            <v>0</v>
          </cell>
          <cell r="I85">
            <v>0</v>
          </cell>
          <cell r="J85">
            <v>0</v>
          </cell>
          <cell r="K85">
            <v>0</v>
          </cell>
          <cell r="L85">
            <v>0</v>
          </cell>
          <cell r="M85">
            <v>0</v>
          </cell>
          <cell r="N85">
            <v>0</v>
          </cell>
          <cell r="O85">
            <v>0</v>
          </cell>
          <cell r="P85">
            <v>0</v>
          </cell>
          <cell r="Q85">
            <v>0</v>
          </cell>
          <cell r="R85">
            <v>0</v>
          </cell>
          <cell r="S85">
            <v>0</v>
          </cell>
          <cell r="V85">
            <v>0</v>
          </cell>
          <cell r="W85">
            <v>0</v>
          </cell>
        </row>
        <row r="86">
          <cell r="B86" t="str">
            <v>SEVERANCE PAY</v>
          </cell>
          <cell r="D86">
            <v>0</v>
          </cell>
          <cell r="E86">
            <v>0</v>
          </cell>
          <cell r="F86">
            <v>0</v>
          </cell>
          <cell r="G86">
            <v>0</v>
          </cell>
          <cell r="H86">
            <v>0</v>
          </cell>
          <cell r="I86">
            <v>0</v>
          </cell>
          <cell r="J86">
            <v>0</v>
          </cell>
          <cell r="K86">
            <v>0</v>
          </cell>
          <cell r="L86">
            <v>0</v>
          </cell>
          <cell r="M86">
            <v>0</v>
          </cell>
          <cell r="N86">
            <v>0</v>
          </cell>
          <cell r="O86">
            <v>0</v>
          </cell>
          <cell r="P86">
            <v>0</v>
          </cell>
          <cell r="Q86">
            <v>0</v>
          </cell>
          <cell r="R86">
            <v>0</v>
          </cell>
          <cell r="S86">
            <v>0</v>
          </cell>
          <cell r="V86">
            <v>0</v>
          </cell>
          <cell r="W86">
            <v>0</v>
          </cell>
        </row>
        <row r="87">
          <cell r="D87">
            <v>0</v>
          </cell>
          <cell r="E87">
            <v>0</v>
          </cell>
          <cell r="F87">
            <v>0</v>
          </cell>
          <cell r="G87">
            <v>0</v>
          </cell>
          <cell r="H87">
            <v>0</v>
          </cell>
          <cell r="I87">
            <v>0</v>
          </cell>
          <cell r="J87">
            <v>1255.5899999999999</v>
          </cell>
          <cell r="K87">
            <v>0</v>
          </cell>
          <cell r="L87">
            <v>1255.5899999999999</v>
          </cell>
          <cell r="M87">
            <v>0</v>
          </cell>
          <cell r="N87">
            <v>1255.5899999999999</v>
          </cell>
          <cell r="O87">
            <v>0</v>
          </cell>
          <cell r="P87">
            <v>0</v>
          </cell>
          <cell r="Q87">
            <v>0</v>
          </cell>
          <cell r="R87">
            <v>1255.5899999999999</v>
          </cell>
          <cell r="S87">
            <v>0</v>
          </cell>
          <cell r="V87">
            <v>1255.5899999999999</v>
          </cell>
          <cell r="W87">
            <v>3.8516164893199307E-4</v>
          </cell>
        </row>
        <row r="88">
          <cell r="B88" t="str">
            <v>MISC. SALARIES</v>
          </cell>
          <cell r="D88">
            <v>0</v>
          </cell>
          <cell r="E88">
            <v>0</v>
          </cell>
          <cell r="F88">
            <v>0</v>
          </cell>
          <cell r="G88">
            <v>0</v>
          </cell>
          <cell r="H88">
            <v>0</v>
          </cell>
          <cell r="I88">
            <v>0</v>
          </cell>
          <cell r="J88">
            <v>0</v>
          </cell>
          <cell r="K88">
            <v>0</v>
          </cell>
          <cell r="L88">
            <v>0</v>
          </cell>
          <cell r="M88">
            <v>0</v>
          </cell>
          <cell r="N88">
            <v>0</v>
          </cell>
          <cell r="O88">
            <v>0</v>
          </cell>
          <cell r="P88">
            <v>0</v>
          </cell>
          <cell r="Q88">
            <v>0</v>
          </cell>
          <cell r="R88">
            <v>0</v>
          </cell>
          <cell r="S88">
            <v>0</v>
          </cell>
          <cell r="V88">
            <v>0</v>
          </cell>
          <cell r="W88">
            <v>0</v>
          </cell>
        </row>
        <row r="89">
          <cell r="B89" t="str">
            <v xml:space="preserve">  ( SUB-TOTAL )</v>
          </cell>
          <cell r="D89">
            <v>179335.01</v>
          </cell>
          <cell r="E89">
            <v>0.05</v>
          </cell>
          <cell r="F89">
            <v>123251.45999999999</v>
          </cell>
          <cell r="G89">
            <v>0.03</v>
          </cell>
          <cell r="H89">
            <v>37228.130000000005</v>
          </cell>
          <cell r="I89">
            <v>0.01</v>
          </cell>
          <cell r="J89">
            <v>159348.25000000003</v>
          </cell>
          <cell r="K89">
            <v>0.05</v>
          </cell>
          <cell r="L89">
            <v>319827.84000000003</v>
          </cell>
          <cell r="M89">
            <v>0.09</v>
          </cell>
          <cell r="N89">
            <v>499162.85000000003</v>
          </cell>
          <cell r="O89">
            <v>0.14000000000000001</v>
          </cell>
          <cell r="P89">
            <v>328406.67000000004</v>
          </cell>
          <cell r="Q89">
            <v>0.1015443130563027</v>
          </cell>
          <cell r="R89">
            <v>827569.52</v>
          </cell>
          <cell r="S89">
            <v>0.2415443130563027</v>
          </cell>
          <cell r="T89">
            <v>0</v>
          </cell>
          <cell r="U89">
            <v>0</v>
          </cell>
          <cell r="V89">
            <v>827569.52</v>
          </cell>
          <cell r="W89">
            <v>0.25386315670645515</v>
          </cell>
        </row>
        <row r="90">
          <cell r="A90" t="str">
            <v>OVER HEAD</v>
          </cell>
          <cell r="B90" t="str">
            <v>ELECTRICITY</v>
          </cell>
          <cell r="D90">
            <v>0</v>
          </cell>
          <cell r="E90">
            <v>0</v>
          </cell>
          <cell r="F90">
            <v>0</v>
          </cell>
          <cell r="G90">
            <v>0</v>
          </cell>
          <cell r="H90">
            <v>0</v>
          </cell>
          <cell r="I90">
            <v>0</v>
          </cell>
          <cell r="J90">
            <v>0</v>
          </cell>
          <cell r="K90">
            <v>0</v>
          </cell>
          <cell r="L90">
            <v>0</v>
          </cell>
          <cell r="M90">
            <v>0</v>
          </cell>
          <cell r="N90">
            <v>0</v>
          </cell>
          <cell r="O90">
            <v>0</v>
          </cell>
          <cell r="P90">
            <v>3256.6600000000003</v>
          </cell>
          <cell r="Q90">
            <v>1.0069688979153157E-3</v>
          </cell>
          <cell r="R90">
            <v>3256.6600000000003</v>
          </cell>
          <cell r="S90">
            <v>1.0069688979153157E-3</v>
          </cell>
          <cell r="V90">
            <v>3256.6600000000003</v>
          </cell>
          <cell r="W90">
            <v>9.9900487867127393E-4</v>
          </cell>
        </row>
        <row r="91">
          <cell r="B91" t="str">
            <v>UTILITIES</v>
          </cell>
          <cell r="D91">
            <v>0</v>
          </cell>
          <cell r="E91">
            <v>0</v>
          </cell>
          <cell r="F91">
            <v>0</v>
          </cell>
          <cell r="G91">
            <v>0</v>
          </cell>
          <cell r="H91">
            <v>0</v>
          </cell>
          <cell r="I91">
            <v>0</v>
          </cell>
          <cell r="J91">
            <v>0</v>
          </cell>
          <cell r="K91">
            <v>0</v>
          </cell>
          <cell r="L91">
            <v>0</v>
          </cell>
          <cell r="M91">
            <v>0</v>
          </cell>
          <cell r="N91">
            <v>0</v>
          </cell>
          <cell r="O91">
            <v>0</v>
          </cell>
          <cell r="P91">
            <v>5452.5399999999991</v>
          </cell>
          <cell r="Q91">
            <v>1.6859414844162958E-3</v>
          </cell>
          <cell r="R91">
            <v>5452.5399999999991</v>
          </cell>
          <cell r="S91">
            <v>1.6859414844162958E-3</v>
          </cell>
          <cell r="V91">
            <v>5452.5399999999991</v>
          </cell>
          <cell r="W91">
            <v>1.6726075369090621E-3</v>
          </cell>
        </row>
        <row r="92">
          <cell r="B92" t="str">
            <v xml:space="preserve">REPAIR </v>
          </cell>
          <cell r="D92">
            <v>100030.36</v>
          </cell>
          <cell r="E92">
            <v>0.03</v>
          </cell>
          <cell r="F92">
            <v>24674.63</v>
          </cell>
          <cell r="G92">
            <v>0.01</v>
          </cell>
          <cell r="H92">
            <v>143916.02000000002</v>
          </cell>
          <cell r="I92">
            <v>0.04</v>
          </cell>
          <cell r="J92">
            <v>136186.27000000002</v>
          </cell>
          <cell r="K92">
            <v>0.04</v>
          </cell>
          <cell r="L92">
            <v>304776.92000000004</v>
          </cell>
          <cell r="M92">
            <v>0.09</v>
          </cell>
          <cell r="N92">
            <v>404807.28</v>
          </cell>
          <cell r="O92">
            <v>0.12</v>
          </cell>
          <cell r="P92">
            <v>66600.009999999995</v>
          </cell>
          <cell r="Q92">
            <v>2.0592919945849119E-2</v>
          </cell>
          <cell r="R92">
            <v>471407.29000000004</v>
          </cell>
          <cell r="S92">
            <v>0.1405929199458491</v>
          </cell>
          <cell r="V92">
            <v>471407.29000000004</v>
          </cell>
          <cell r="W92">
            <v>0.14460772157707713</v>
          </cell>
        </row>
        <row r="93">
          <cell r="B93" t="str">
            <v>CONSUMABLE SUPPLIES</v>
          </cell>
          <cell r="D93">
            <v>0</v>
          </cell>
          <cell r="E93">
            <v>0</v>
          </cell>
          <cell r="F93">
            <v>0</v>
          </cell>
          <cell r="G93">
            <v>0</v>
          </cell>
          <cell r="H93">
            <v>775</v>
          </cell>
          <cell r="I93">
            <v>0</v>
          </cell>
          <cell r="J93">
            <v>1697.29</v>
          </cell>
          <cell r="K93">
            <v>0</v>
          </cell>
          <cell r="L93">
            <v>2472.29</v>
          </cell>
          <cell r="M93">
            <v>0</v>
          </cell>
          <cell r="N93">
            <v>2472.29</v>
          </cell>
          <cell r="O93">
            <v>0</v>
          </cell>
          <cell r="P93">
            <v>17396.21</v>
          </cell>
          <cell r="Q93">
            <v>5.3789595510748411E-3</v>
          </cell>
          <cell r="R93">
            <v>19868.5</v>
          </cell>
          <cell r="S93">
            <v>5.3789595510748411E-3</v>
          </cell>
          <cell r="V93">
            <v>19868.5</v>
          </cell>
          <cell r="W93">
            <v>6.094811380948641E-3</v>
          </cell>
        </row>
        <row r="94">
          <cell r="B94" t="str">
            <v>STATIONERY</v>
          </cell>
          <cell r="D94">
            <v>120.57999999999998</v>
          </cell>
          <cell r="E94">
            <v>0</v>
          </cell>
          <cell r="F94">
            <v>0</v>
          </cell>
          <cell r="G94">
            <v>0</v>
          </cell>
          <cell r="H94">
            <v>0</v>
          </cell>
          <cell r="I94">
            <v>0</v>
          </cell>
          <cell r="J94">
            <v>0</v>
          </cell>
          <cell r="K94">
            <v>0</v>
          </cell>
          <cell r="L94">
            <v>0</v>
          </cell>
          <cell r="M94">
            <v>0</v>
          </cell>
          <cell r="N94">
            <v>120.57999999999998</v>
          </cell>
          <cell r="O94">
            <v>0</v>
          </cell>
          <cell r="P94">
            <v>4662.2</v>
          </cell>
          <cell r="Q94">
            <v>1.441566020358522E-3</v>
          </cell>
          <cell r="R94">
            <v>4782.78</v>
          </cell>
          <cell r="S94">
            <v>1.441566020358522E-3</v>
          </cell>
          <cell r="V94">
            <v>4782.78</v>
          </cell>
          <cell r="W94">
            <v>1.4671536339720432E-3</v>
          </cell>
        </row>
        <row r="95">
          <cell r="B95" t="str">
            <v>EMPLOYEE RENETIES 1</v>
          </cell>
          <cell r="D95">
            <v>15562.92</v>
          </cell>
          <cell r="E95">
            <v>0</v>
          </cell>
          <cell r="F95">
            <v>8016.4700000000012</v>
          </cell>
          <cell r="G95">
            <v>0</v>
          </cell>
          <cell r="H95">
            <v>10041.209999999999</v>
          </cell>
          <cell r="I95">
            <v>0</v>
          </cell>
          <cell r="J95">
            <v>18981.84</v>
          </cell>
          <cell r="K95">
            <v>0.01</v>
          </cell>
          <cell r="L95">
            <v>37039.520000000004</v>
          </cell>
          <cell r="M95">
            <v>0.01</v>
          </cell>
          <cell r="N95">
            <v>52602.44</v>
          </cell>
          <cell r="O95">
            <v>0.01</v>
          </cell>
          <cell r="P95">
            <v>92353.55</v>
          </cell>
          <cell r="Q95">
            <v>2.8555990635211227E-2</v>
          </cell>
          <cell r="R95">
            <v>144955.99</v>
          </cell>
          <cell r="S95">
            <v>3.8555990635211229E-2</v>
          </cell>
          <cell r="V95">
            <v>144955.99</v>
          </cell>
          <cell r="W95">
            <v>4.4466337045508085E-2</v>
          </cell>
        </row>
        <row r="96">
          <cell r="B96" t="str">
            <v>TRAINING &amp; EDUCATION</v>
          </cell>
          <cell r="D96">
            <v>268.72000000000003</v>
          </cell>
          <cell r="E96">
            <v>0</v>
          </cell>
          <cell r="F96">
            <v>0</v>
          </cell>
          <cell r="G96">
            <v>0</v>
          </cell>
          <cell r="H96">
            <v>0</v>
          </cell>
          <cell r="I96">
            <v>0</v>
          </cell>
          <cell r="J96">
            <v>0</v>
          </cell>
          <cell r="K96">
            <v>0</v>
          </cell>
          <cell r="L96">
            <v>0</v>
          </cell>
          <cell r="M96">
            <v>0</v>
          </cell>
          <cell r="N96">
            <v>268.72000000000003</v>
          </cell>
          <cell r="O96">
            <v>0</v>
          </cell>
          <cell r="P96">
            <v>1973.65</v>
          </cell>
          <cell r="Q96">
            <v>6.1025841364175651E-4</v>
          </cell>
          <cell r="R96">
            <v>2242.37</v>
          </cell>
          <cell r="S96">
            <v>6.1025841364175651E-4</v>
          </cell>
          <cell r="V96">
            <v>2242.37</v>
          </cell>
          <cell r="W96">
            <v>6.8786381439453427E-4</v>
          </cell>
        </row>
        <row r="97">
          <cell r="B97" t="str">
            <v>O/T MEAL CHARGE</v>
          </cell>
          <cell r="D97">
            <v>1599.53</v>
          </cell>
          <cell r="E97">
            <v>0</v>
          </cell>
          <cell r="F97">
            <v>924.01</v>
          </cell>
          <cell r="G97">
            <v>0</v>
          </cell>
          <cell r="H97">
            <v>594.07999999999993</v>
          </cell>
          <cell r="I97">
            <v>0</v>
          </cell>
          <cell r="J97">
            <v>1824.4</v>
          </cell>
          <cell r="K97">
            <v>0</v>
          </cell>
          <cell r="L97">
            <v>3342.49</v>
          </cell>
          <cell r="M97">
            <v>0</v>
          </cell>
          <cell r="N97">
            <v>4942.0199999999995</v>
          </cell>
          <cell r="O97">
            <v>0</v>
          </cell>
          <cell r="P97">
            <v>1561.26</v>
          </cell>
          <cell r="Q97">
            <v>4.8274620671462961E-4</v>
          </cell>
          <cell r="R97">
            <v>6503.28</v>
          </cell>
          <cell r="S97">
            <v>4.8274620671462961E-4</v>
          </cell>
          <cell r="V97">
            <v>6503.28</v>
          </cell>
          <cell r="W97">
            <v>1.9949299120464894E-3</v>
          </cell>
        </row>
        <row r="98">
          <cell r="B98" t="str">
            <v>DEPRECIATION</v>
          </cell>
          <cell r="D98">
            <v>2236290.9999999991</v>
          </cell>
          <cell r="E98">
            <v>0.69</v>
          </cell>
          <cell r="F98">
            <v>311039.28999999998</v>
          </cell>
          <cell r="G98">
            <v>0.1</v>
          </cell>
          <cell r="H98">
            <v>670959.61</v>
          </cell>
          <cell r="I98">
            <v>0.21</v>
          </cell>
          <cell r="J98">
            <v>1200036.75</v>
          </cell>
          <cell r="K98">
            <v>0.37</v>
          </cell>
          <cell r="L98">
            <v>2182035.65</v>
          </cell>
          <cell r="M98">
            <v>0.67999999999999994</v>
          </cell>
          <cell r="N98">
            <v>4418326.6499999985</v>
          </cell>
          <cell r="O98">
            <v>1.3699999999999999</v>
          </cell>
          <cell r="P98">
            <v>82646.190000000017</v>
          </cell>
          <cell r="Q98">
            <v>2.555444623055517E-2</v>
          </cell>
          <cell r="R98">
            <v>4500972.8399999989</v>
          </cell>
          <cell r="S98">
            <v>1.3955544462305551</v>
          </cell>
          <cell r="V98">
            <v>4500972.8399999989</v>
          </cell>
          <cell r="W98">
            <v>1.3807071741989945</v>
          </cell>
        </row>
        <row r="99">
          <cell r="B99" t="str">
            <v>SUBSCRIPTION</v>
          </cell>
          <cell r="D99">
            <v>191.53</v>
          </cell>
          <cell r="E99">
            <v>0</v>
          </cell>
          <cell r="F99">
            <v>3041.91</v>
          </cell>
          <cell r="G99">
            <v>0</v>
          </cell>
          <cell r="H99">
            <v>94.02000000000001</v>
          </cell>
          <cell r="I99">
            <v>0</v>
          </cell>
          <cell r="J99">
            <v>646.97</v>
          </cell>
          <cell r="K99">
            <v>0</v>
          </cell>
          <cell r="L99">
            <v>3782.8999999999996</v>
          </cell>
          <cell r="M99">
            <v>0</v>
          </cell>
          <cell r="N99">
            <v>3974.43</v>
          </cell>
          <cell r="O99">
            <v>0</v>
          </cell>
          <cell r="P99">
            <v>12351.110000000002</v>
          </cell>
          <cell r="Q99">
            <v>3.8189997189546458E-3</v>
          </cell>
          <cell r="R99">
            <v>16325.540000000003</v>
          </cell>
          <cell r="S99">
            <v>3.8189997189546458E-3</v>
          </cell>
          <cell r="V99">
            <v>16325.540000000003</v>
          </cell>
          <cell r="W99">
            <v>5.0079818301397841E-3</v>
          </cell>
        </row>
        <row r="100">
          <cell r="B100" t="str">
            <v>TRAVEL</v>
          </cell>
          <cell r="D100">
            <v>7047.7800000000007</v>
          </cell>
          <cell r="E100">
            <v>0</v>
          </cell>
          <cell r="F100">
            <v>3355.1899999999996</v>
          </cell>
          <cell r="G100">
            <v>0</v>
          </cell>
          <cell r="H100">
            <v>625.84999999999991</v>
          </cell>
          <cell r="I100">
            <v>0</v>
          </cell>
          <cell r="J100">
            <v>2455.4699999999998</v>
          </cell>
          <cell r="K100">
            <v>0</v>
          </cell>
          <cell r="L100">
            <v>6436.5099999999993</v>
          </cell>
          <cell r="M100">
            <v>0</v>
          </cell>
          <cell r="N100">
            <v>13484.29</v>
          </cell>
          <cell r="O100">
            <v>0</v>
          </cell>
          <cell r="P100">
            <v>27551.33</v>
          </cell>
          <cell r="Q100">
            <v>8.5189526712033722E-3</v>
          </cell>
          <cell r="R100">
            <v>41035.620000000003</v>
          </cell>
          <cell r="S100">
            <v>8.5189526712033722E-3</v>
          </cell>
          <cell r="V100">
            <v>41035.620000000003</v>
          </cell>
          <cell r="W100">
            <v>1.2587984186037382E-2</v>
          </cell>
        </row>
        <row r="101">
          <cell r="B101" t="str">
            <v>VEHICLE OPERATION</v>
          </cell>
          <cell r="D101">
            <v>19079.320000000003</v>
          </cell>
          <cell r="E101">
            <v>0.01</v>
          </cell>
          <cell r="F101">
            <v>1390.1200000000001</v>
          </cell>
          <cell r="G101">
            <v>0</v>
          </cell>
          <cell r="H101">
            <v>1747</v>
          </cell>
          <cell r="I101">
            <v>0</v>
          </cell>
          <cell r="J101">
            <v>3345.06</v>
          </cell>
          <cell r="K101">
            <v>0</v>
          </cell>
          <cell r="L101">
            <v>6482.18</v>
          </cell>
          <cell r="M101">
            <v>0</v>
          </cell>
          <cell r="N101">
            <v>25561.500000000004</v>
          </cell>
          <cell r="O101">
            <v>0.01</v>
          </cell>
          <cell r="P101">
            <v>26541.350000000006</v>
          </cell>
          <cell r="Q101">
            <v>8.2066638699418021E-3</v>
          </cell>
          <cell r="R101">
            <v>52102.850000000006</v>
          </cell>
          <cell r="S101">
            <v>1.8206663869941804E-2</v>
          </cell>
          <cell r="V101">
            <v>52102.850000000006</v>
          </cell>
          <cell r="W101">
            <v>1.598293998841684E-2</v>
          </cell>
        </row>
        <row r="102">
          <cell r="B102" t="str">
            <v>COMMUNICATIONS</v>
          </cell>
          <cell r="D102">
            <v>137.52000000000001</v>
          </cell>
          <cell r="E102">
            <v>0</v>
          </cell>
          <cell r="F102">
            <v>54.870000000000005</v>
          </cell>
          <cell r="G102">
            <v>0</v>
          </cell>
          <cell r="H102">
            <v>0</v>
          </cell>
          <cell r="I102">
            <v>0</v>
          </cell>
          <cell r="J102">
            <v>3106.76</v>
          </cell>
          <cell r="K102">
            <v>0</v>
          </cell>
          <cell r="L102">
            <v>3161.63</v>
          </cell>
          <cell r="M102">
            <v>0</v>
          </cell>
          <cell r="N102">
            <v>3299.15</v>
          </cell>
          <cell r="O102">
            <v>0</v>
          </cell>
          <cell r="P102">
            <v>18057.919999999998</v>
          </cell>
          <cell r="Q102">
            <v>5.583562238932813E-3</v>
          </cell>
          <cell r="R102">
            <v>21357.07</v>
          </cell>
          <cell r="S102">
            <v>5.583562238932813E-3</v>
          </cell>
          <cell r="V102">
            <v>21357.07</v>
          </cell>
          <cell r="W102">
            <v>6.5514413921391552E-3</v>
          </cell>
        </row>
        <row r="103">
          <cell r="B103" t="str">
            <v>CONVENTION &amp; CONFERE.</v>
          </cell>
          <cell r="D103">
            <v>1687.93</v>
          </cell>
          <cell r="E103">
            <v>0</v>
          </cell>
          <cell r="F103">
            <v>1369.79</v>
          </cell>
          <cell r="G103">
            <v>0</v>
          </cell>
          <cell r="H103">
            <v>1105.96</v>
          </cell>
          <cell r="I103">
            <v>0</v>
          </cell>
          <cell r="J103">
            <v>979.61999999999989</v>
          </cell>
          <cell r="K103">
            <v>0</v>
          </cell>
          <cell r="L103">
            <v>3455.37</v>
          </cell>
          <cell r="M103">
            <v>0</v>
          </cell>
          <cell r="N103">
            <v>5143.3</v>
          </cell>
          <cell r="O103">
            <v>0</v>
          </cell>
          <cell r="P103">
            <v>14626.279999999999</v>
          </cell>
          <cell r="Q103">
            <v>4.522489007818078E-3</v>
          </cell>
          <cell r="R103">
            <v>19769.579999999998</v>
          </cell>
          <cell r="S103">
            <v>4.522489007818078E-3</v>
          </cell>
          <cell r="V103">
            <v>19769.579999999998</v>
          </cell>
          <cell r="W103">
            <v>6.0644669290874816E-3</v>
          </cell>
        </row>
        <row r="104">
          <cell r="B104" t="str">
            <v>INSURANCE</v>
          </cell>
          <cell r="D104">
            <v>3877.8399999999997</v>
          </cell>
          <cell r="E104">
            <v>0</v>
          </cell>
          <cell r="F104">
            <v>2130.2800000000002</v>
          </cell>
          <cell r="G104">
            <v>0</v>
          </cell>
          <cell r="H104">
            <v>9340.76</v>
          </cell>
          <cell r="I104">
            <v>0</v>
          </cell>
          <cell r="J104">
            <v>1757.28</v>
          </cell>
          <cell r="K104">
            <v>0</v>
          </cell>
          <cell r="L104">
            <v>13228.320000000002</v>
          </cell>
          <cell r="M104">
            <v>0</v>
          </cell>
          <cell r="N104">
            <v>17106.16</v>
          </cell>
          <cell r="O104">
            <v>0</v>
          </cell>
          <cell r="P104">
            <v>6202.81</v>
          </cell>
          <cell r="Q104">
            <v>1.9179271860366447E-3</v>
          </cell>
          <cell r="R104">
            <v>23308.97</v>
          </cell>
          <cell r="S104">
            <v>1.9179271860366447E-3</v>
          </cell>
          <cell r="V104">
            <v>23308.97</v>
          </cell>
          <cell r="W104">
            <v>7.1502013556227423E-3</v>
          </cell>
        </row>
        <row r="105">
          <cell r="B105" t="str">
            <v>COMMISSION</v>
          </cell>
          <cell r="D105">
            <v>86655.010000000009</v>
          </cell>
          <cell r="E105">
            <v>0.03</v>
          </cell>
          <cell r="F105">
            <v>4.51</v>
          </cell>
          <cell r="G105">
            <v>0</v>
          </cell>
          <cell r="H105">
            <v>3.75</v>
          </cell>
          <cell r="I105">
            <v>0</v>
          </cell>
          <cell r="J105">
            <v>83.600000000000009</v>
          </cell>
          <cell r="K105">
            <v>0</v>
          </cell>
          <cell r="L105">
            <v>91.860000000000014</v>
          </cell>
          <cell r="M105">
            <v>0</v>
          </cell>
          <cell r="N105">
            <v>86746.87000000001</v>
          </cell>
          <cell r="O105">
            <v>0.03</v>
          </cell>
          <cell r="P105">
            <v>30027.97</v>
          </cell>
          <cell r="Q105">
            <v>9.2847370795643876E-3</v>
          </cell>
          <cell r="R105">
            <v>116774.84000000001</v>
          </cell>
          <cell r="S105">
            <v>3.9284737079564383E-2</v>
          </cell>
          <cell r="V105">
            <v>116774.84000000001</v>
          </cell>
          <cell r="W105">
            <v>3.582155793544841E-2</v>
          </cell>
        </row>
        <row r="106">
          <cell r="B106" t="str">
            <v>RENT</v>
          </cell>
          <cell r="D106">
            <v>9788.99</v>
          </cell>
          <cell r="E106">
            <v>0</v>
          </cell>
          <cell r="F106">
            <v>0</v>
          </cell>
          <cell r="G106">
            <v>0</v>
          </cell>
          <cell r="H106">
            <v>0</v>
          </cell>
          <cell r="I106">
            <v>0</v>
          </cell>
          <cell r="J106">
            <v>1507850.77</v>
          </cell>
          <cell r="K106">
            <v>0.46</v>
          </cell>
          <cell r="L106">
            <v>1507850.77</v>
          </cell>
          <cell r="M106">
            <v>0.46</v>
          </cell>
          <cell r="N106">
            <v>1517639.76</v>
          </cell>
          <cell r="O106">
            <v>0.46</v>
          </cell>
          <cell r="P106">
            <v>19284.53</v>
          </cell>
          <cell r="Q106">
            <v>5.9628336765013357E-3</v>
          </cell>
          <cell r="R106">
            <v>1536924.29</v>
          </cell>
          <cell r="S106">
            <v>0.46596283367650138</v>
          </cell>
          <cell r="V106">
            <v>1536924.29</v>
          </cell>
          <cell r="W106">
            <v>0.47146305228620228</v>
          </cell>
        </row>
        <row r="107">
          <cell r="B107" t="str">
            <v>TRANSPORTATION</v>
          </cell>
          <cell r="D107">
            <v>4.47</v>
          </cell>
          <cell r="E107">
            <v>0</v>
          </cell>
          <cell r="F107">
            <v>6.23</v>
          </cell>
          <cell r="G107">
            <v>0</v>
          </cell>
          <cell r="H107">
            <v>0</v>
          </cell>
          <cell r="I107">
            <v>0</v>
          </cell>
          <cell r="J107">
            <v>0</v>
          </cell>
          <cell r="K107">
            <v>0</v>
          </cell>
          <cell r="L107">
            <v>6.23</v>
          </cell>
          <cell r="M107">
            <v>0</v>
          </cell>
          <cell r="N107">
            <v>10.7</v>
          </cell>
          <cell r="O107">
            <v>0</v>
          </cell>
          <cell r="P107">
            <v>21332.11</v>
          </cell>
          <cell r="Q107">
            <v>6.5959514646626556E-3</v>
          </cell>
          <cell r="R107">
            <v>21342.81</v>
          </cell>
          <cell r="S107">
            <v>6.5959514646626556E-3</v>
          </cell>
          <cell r="V107">
            <v>21342.81</v>
          </cell>
          <cell r="W107">
            <v>6.5470670301947548E-3</v>
          </cell>
        </row>
        <row r="108">
          <cell r="B108" t="str">
            <v>CONTRACT EXPENSES N/ROTO</v>
          </cell>
          <cell r="D108">
            <v>5355068.1700000009</v>
          </cell>
          <cell r="E108">
            <v>1.66</v>
          </cell>
          <cell r="F108">
            <v>0</v>
          </cell>
          <cell r="G108">
            <v>0</v>
          </cell>
          <cell r="H108">
            <v>3683529.71</v>
          </cell>
          <cell r="I108">
            <v>1.1299999999999999</v>
          </cell>
          <cell r="J108">
            <v>1352775.8399999999</v>
          </cell>
          <cell r="K108">
            <v>0.41</v>
          </cell>
          <cell r="L108">
            <v>5036305.55</v>
          </cell>
          <cell r="M108">
            <v>1.5399999999999998</v>
          </cell>
          <cell r="N108">
            <v>10391373.720000001</v>
          </cell>
          <cell r="O108">
            <v>3.1999999999999997</v>
          </cell>
          <cell r="P108">
            <v>0</v>
          </cell>
          <cell r="Q108">
            <v>0</v>
          </cell>
          <cell r="R108">
            <v>10391373.720000001</v>
          </cell>
          <cell r="S108">
            <v>3.1999999999999997</v>
          </cell>
          <cell r="V108">
            <v>10391373.720000001</v>
          </cell>
          <cell r="W108">
            <v>3.1876318198327316</v>
          </cell>
        </row>
        <row r="109">
          <cell r="B109" t="str">
            <v>CONTRACT EXPENSES S/ROTO</v>
          </cell>
          <cell r="D109">
            <v>14627659.280000001</v>
          </cell>
          <cell r="E109">
            <v>4.54</v>
          </cell>
          <cell r="F109">
            <v>0</v>
          </cell>
          <cell r="G109">
            <v>0</v>
          </cell>
          <cell r="H109">
            <v>0</v>
          </cell>
          <cell r="I109">
            <v>0</v>
          </cell>
          <cell r="J109">
            <v>0</v>
          </cell>
          <cell r="K109">
            <v>0</v>
          </cell>
          <cell r="L109">
            <v>0</v>
          </cell>
          <cell r="M109">
            <v>0</v>
          </cell>
          <cell r="N109">
            <v>14627659.280000001</v>
          </cell>
          <cell r="O109">
            <v>4.54</v>
          </cell>
          <cell r="P109">
            <v>0</v>
          </cell>
          <cell r="Q109">
            <v>0</v>
          </cell>
          <cell r="R109">
            <v>14627659.280000001</v>
          </cell>
          <cell r="S109">
            <v>4.54</v>
          </cell>
          <cell r="V109">
            <v>14627659.280000001</v>
          </cell>
          <cell r="W109">
            <v>4.4871441858410561</v>
          </cell>
        </row>
        <row r="110">
          <cell r="B110" t="str">
            <v>R &amp; D</v>
          </cell>
          <cell r="D110">
            <v>0</v>
          </cell>
          <cell r="E110">
            <v>0</v>
          </cell>
          <cell r="F110">
            <v>0</v>
          </cell>
          <cell r="G110">
            <v>0</v>
          </cell>
          <cell r="H110">
            <v>0</v>
          </cell>
          <cell r="I110">
            <v>0</v>
          </cell>
          <cell r="J110">
            <v>0</v>
          </cell>
          <cell r="K110">
            <v>0</v>
          </cell>
          <cell r="L110">
            <v>0</v>
          </cell>
          <cell r="M110">
            <v>0</v>
          </cell>
          <cell r="N110">
            <v>0</v>
          </cell>
          <cell r="O110">
            <v>0</v>
          </cell>
          <cell r="P110">
            <v>0</v>
          </cell>
          <cell r="Q110">
            <v>0</v>
          </cell>
          <cell r="R110">
            <v>0</v>
          </cell>
          <cell r="S110">
            <v>0</v>
          </cell>
          <cell r="V110">
            <v>0</v>
          </cell>
          <cell r="W110">
            <v>0</v>
          </cell>
        </row>
        <row r="111">
          <cell r="B111" t="str">
            <v>WASTE EXPENSES</v>
          </cell>
          <cell r="D111">
            <v>5749472.8099999996</v>
          </cell>
          <cell r="E111">
            <v>1.78</v>
          </cell>
          <cell r="F111">
            <v>0</v>
          </cell>
          <cell r="G111">
            <v>0</v>
          </cell>
          <cell r="H111">
            <v>0</v>
          </cell>
          <cell r="I111">
            <v>0</v>
          </cell>
          <cell r="J111">
            <v>0</v>
          </cell>
          <cell r="K111">
            <v>0</v>
          </cell>
          <cell r="L111">
            <v>0</v>
          </cell>
          <cell r="M111">
            <v>0</v>
          </cell>
          <cell r="N111">
            <v>5749472.8099999996</v>
          </cell>
          <cell r="O111">
            <v>1.78</v>
          </cell>
          <cell r="P111">
            <v>0</v>
          </cell>
          <cell r="Q111">
            <v>0</v>
          </cell>
          <cell r="R111">
            <v>5749472.8099999996</v>
          </cell>
          <cell r="S111">
            <v>1.78</v>
          </cell>
          <cell r="V111">
            <v>5749472.8099999996</v>
          </cell>
          <cell r="W111">
            <v>1.7636939032560466</v>
          </cell>
        </row>
        <row r="112">
          <cell r="B112" t="str">
            <v>MEDICAL COST</v>
          </cell>
          <cell r="D112">
            <v>4545.2299999999996</v>
          </cell>
          <cell r="E112">
            <v>0</v>
          </cell>
          <cell r="F112">
            <v>2718.4</v>
          </cell>
          <cell r="G112">
            <v>0</v>
          </cell>
          <cell r="H112">
            <v>2121.1600000000003</v>
          </cell>
          <cell r="I112">
            <v>0</v>
          </cell>
          <cell r="J112">
            <v>2694.22</v>
          </cell>
          <cell r="K112">
            <v>0</v>
          </cell>
          <cell r="L112">
            <v>7533.7800000000007</v>
          </cell>
          <cell r="M112">
            <v>0</v>
          </cell>
          <cell r="N112">
            <v>12079.01</v>
          </cell>
          <cell r="O112">
            <v>0</v>
          </cell>
          <cell r="P112">
            <v>7295.6500000000005</v>
          </cell>
          <cell r="Q112">
            <v>2.2558365442127432E-3</v>
          </cell>
          <cell r="R112">
            <v>19374.66</v>
          </cell>
          <cell r="S112">
            <v>2.2558365442127432E-3</v>
          </cell>
          <cell r="V112">
            <v>19374.66</v>
          </cell>
          <cell r="W112">
            <v>5.9433222573425475E-3</v>
          </cell>
        </row>
        <row r="113">
          <cell r="B113" t="str">
            <v>TAXES &amp; DUES</v>
          </cell>
          <cell r="D113">
            <v>712.99</v>
          </cell>
          <cell r="E113">
            <v>0</v>
          </cell>
          <cell r="F113">
            <v>201.7</v>
          </cell>
          <cell r="G113">
            <v>0</v>
          </cell>
          <cell r="H113">
            <v>112.3</v>
          </cell>
          <cell r="I113">
            <v>0</v>
          </cell>
          <cell r="J113">
            <v>260.45999999999998</v>
          </cell>
          <cell r="K113">
            <v>0</v>
          </cell>
          <cell r="L113">
            <v>574.46</v>
          </cell>
          <cell r="M113">
            <v>0</v>
          </cell>
          <cell r="N113">
            <v>1287.45</v>
          </cell>
          <cell r="O113">
            <v>0</v>
          </cell>
          <cell r="P113">
            <v>48526.939999999995</v>
          </cell>
          <cell r="Q113">
            <v>1.5004673282136496E-2</v>
          </cell>
          <cell r="R113">
            <v>49814.389999999992</v>
          </cell>
          <cell r="S113">
            <v>1.5004673282136496E-2</v>
          </cell>
          <cell r="V113">
            <v>49814.389999999992</v>
          </cell>
          <cell r="W113">
            <v>1.5280937720865397E-2</v>
          </cell>
        </row>
        <row r="114">
          <cell r="B114" t="str">
            <v>PUBLIC RELATIONSHIP</v>
          </cell>
          <cell r="D114">
            <v>0</v>
          </cell>
          <cell r="E114">
            <v>0</v>
          </cell>
          <cell r="F114">
            <v>0</v>
          </cell>
          <cell r="G114">
            <v>0</v>
          </cell>
          <cell r="H114">
            <v>0</v>
          </cell>
          <cell r="I114">
            <v>0</v>
          </cell>
          <cell r="J114">
            <v>3149.45</v>
          </cell>
          <cell r="K114">
            <v>0</v>
          </cell>
          <cell r="L114">
            <v>3149.45</v>
          </cell>
          <cell r="M114">
            <v>0</v>
          </cell>
          <cell r="N114">
            <v>3149.45</v>
          </cell>
          <cell r="O114">
            <v>0</v>
          </cell>
          <cell r="P114">
            <v>32742.600000000006</v>
          </cell>
          <cell r="Q114">
            <v>1.0124108699367456E-2</v>
          </cell>
          <cell r="R114">
            <v>35892.050000000003</v>
          </cell>
          <cell r="S114">
            <v>1.0124108699367456E-2</v>
          </cell>
          <cell r="V114">
            <v>35892.050000000003</v>
          </cell>
          <cell r="W114">
            <v>1.1010155513782002E-2</v>
          </cell>
        </row>
        <row r="115">
          <cell r="B115" t="str">
            <v>BUSINESS DEVELOPMENT</v>
          </cell>
          <cell r="D115">
            <v>453.85</v>
          </cell>
          <cell r="E115">
            <v>0</v>
          </cell>
          <cell r="F115">
            <v>469.87</v>
          </cell>
          <cell r="G115">
            <v>0</v>
          </cell>
          <cell r="H115">
            <v>51.419999999999995</v>
          </cell>
          <cell r="I115">
            <v>0</v>
          </cell>
          <cell r="J115">
            <v>261.12</v>
          </cell>
          <cell r="K115">
            <v>0</v>
          </cell>
          <cell r="L115">
            <v>782.41</v>
          </cell>
          <cell r="M115">
            <v>0</v>
          </cell>
          <cell r="N115">
            <v>1236.26</v>
          </cell>
          <cell r="O115">
            <v>0</v>
          </cell>
          <cell r="P115">
            <v>2740.6400000000003</v>
          </cell>
          <cell r="Q115">
            <v>8.4741398868246325E-4</v>
          </cell>
          <cell r="R115">
            <v>3976.9000000000005</v>
          </cell>
          <cell r="S115">
            <v>8.4741398868246325E-4</v>
          </cell>
          <cell r="V115">
            <v>3976.9000000000005</v>
          </cell>
          <cell r="W115">
            <v>1.219943900188472E-3</v>
          </cell>
        </row>
        <row r="116">
          <cell r="B116" t="str">
            <v>SHIPPING EXPENSES</v>
          </cell>
          <cell r="D116">
            <v>0</v>
          </cell>
          <cell r="E116">
            <v>0</v>
          </cell>
          <cell r="F116">
            <v>0</v>
          </cell>
          <cell r="G116">
            <v>0</v>
          </cell>
          <cell r="H116">
            <v>0</v>
          </cell>
          <cell r="I116">
            <v>0</v>
          </cell>
          <cell r="J116">
            <v>219437.95</v>
          </cell>
          <cell r="K116">
            <v>7.0000000000000007E-2</v>
          </cell>
          <cell r="L116">
            <v>219437.95</v>
          </cell>
          <cell r="M116">
            <v>7.0000000000000007E-2</v>
          </cell>
          <cell r="N116">
            <v>219437.95</v>
          </cell>
          <cell r="O116">
            <v>7.0000000000000007E-2</v>
          </cell>
          <cell r="P116">
            <v>0</v>
          </cell>
          <cell r="Q116">
            <v>0</v>
          </cell>
          <cell r="R116">
            <v>219437.95</v>
          </cell>
          <cell r="S116">
            <v>7.0000000000000007E-2</v>
          </cell>
          <cell r="V116">
            <v>219437.95</v>
          </cell>
          <cell r="W116">
            <v>6.7314236860962787E-2</v>
          </cell>
        </row>
        <row r="117">
          <cell r="B117" t="str">
            <v>RECLAMATION EXPENSE</v>
          </cell>
          <cell r="D117">
            <v>20472.04</v>
          </cell>
          <cell r="E117">
            <v>0.01</v>
          </cell>
          <cell r="F117">
            <v>0</v>
          </cell>
          <cell r="G117">
            <v>0</v>
          </cell>
          <cell r="H117">
            <v>0</v>
          </cell>
          <cell r="I117">
            <v>0</v>
          </cell>
          <cell r="J117">
            <v>0</v>
          </cell>
          <cell r="K117">
            <v>0</v>
          </cell>
          <cell r="L117">
            <v>0</v>
          </cell>
          <cell r="M117">
            <v>0</v>
          </cell>
          <cell r="N117">
            <v>20472.04</v>
          </cell>
          <cell r="O117">
            <v>0.01</v>
          </cell>
          <cell r="P117">
            <v>20848.859999999997</v>
          </cell>
          <cell r="Q117">
            <v>6.4465291362901574E-3</v>
          </cell>
          <cell r="R117">
            <v>41320.899999999994</v>
          </cell>
          <cell r="S117">
            <v>1.6446529136290158E-2</v>
          </cell>
          <cell r="V117">
            <v>41320.899999999994</v>
          </cell>
          <cell r="W117">
            <v>1.2675495965525363E-2</v>
          </cell>
        </row>
        <row r="118">
          <cell r="B118" t="str">
            <v>MISC. EXPENSE</v>
          </cell>
          <cell r="D118">
            <v>0</v>
          </cell>
          <cell r="E118">
            <v>0</v>
          </cell>
          <cell r="F118">
            <v>0</v>
          </cell>
          <cell r="G118">
            <v>0</v>
          </cell>
          <cell r="H118">
            <v>0</v>
          </cell>
          <cell r="I118">
            <v>0</v>
          </cell>
          <cell r="J118">
            <v>0</v>
          </cell>
          <cell r="K118">
            <v>0</v>
          </cell>
          <cell r="L118">
            <v>0</v>
          </cell>
          <cell r="M118">
            <v>0</v>
          </cell>
          <cell r="N118">
            <v>0</v>
          </cell>
          <cell r="O118">
            <v>0</v>
          </cell>
          <cell r="P118">
            <v>0</v>
          </cell>
          <cell r="Q118">
            <v>0</v>
          </cell>
          <cell r="R118">
            <v>0</v>
          </cell>
          <cell r="S118">
            <v>0</v>
          </cell>
          <cell r="V118">
            <v>0</v>
          </cell>
          <cell r="W118">
            <v>0</v>
          </cell>
        </row>
        <row r="119">
          <cell r="B119" t="str">
            <v xml:space="preserve">  ( SUB-TOTAL )</v>
          </cell>
          <cell r="D119">
            <v>28240727.870000001</v>
          </cell>
          <cell r="E119">
            <v>8.75</v>
          </cell>
          <cell r="F119">
            <v>359397.26999999996</v>
          </cell>
          <cell r="G119">
            <v>0.11</v>
          </cell>
          <cell r="H119">
            <v>4525017.8499999996</v>
          </cell>
          <cell r="I119">
            <v>1.38</v>
          </cell>
          <cell r="J119">
            <v>4457531.12</v>
          </cell>
          <cell r="K119">
            <v>1.36</v>
          </cell>
          <cell r="L119">
            <v>9341946.2399999984</v>
          </cell>
          <cell r="M119">
            <v>2.8499999999999996</v>
          </cell>
          <cell r="N119">
            <v>37582674.110000007</v>
          </cell>
          <cell r="O119">
            <v>11.599999999999998</v>
          </cell>
          <cell r="P119">
            <v>564032.37000000011</v>
          </cell>
          <cell r="Q119">
            <v>0.17440047595004193</v>
          </cell>
          <cell r="R119">
            <v>38146706.479999997</v>
          </cell>
          <cell r="S119">
            <v>11.774400475950042</v>
          </cell>
          <cell r="T119">
            <v>0</v>
          </cell>
          <cell r="U119">
            <v>0</v>
          </cell>
          <cell r="V119">
            <v>38146706.479999997</v>
          </cell>
          <cell r="W119">
            <v>11.701788298060313</v>
          </cell>
        </row>
        <row r="120">
          <cell r="A120" t="str">
            <v>TOTAL OF DIRECT COST</v>
          </cell>
          <cell r="D120">
            <v>30864707.789999999</v>
          </cell>
          <cell r="E120">
            <v>9.5500000000000007</v>
          </cell>
          <cell r="F120">
            <v>798408.85999999987</v>
          </cell>
          <cell r="G120">
            <v>0.22999999999999998</v>
          </cell>
          <cell r="H120">
            <v>4950292.3599999994</v>
          </cell>
          <cell r="I120">
            <v>1.52</v>
          </cell>
          <cell r="J120">
            <v>5527577.5300000003</v>
          </cell>
          <cell r="K120">
            <v>1.6900000000000002</v>
          </cell>
          <cell r="L120">
            <v>11276278.749999998</v>
          </cell>
          <cell r="M120">
            <v>3.4399999999999995</v>
          </cell>
          <cell r="N120">
            <v>42140986.540000007</v>
          </cell>
          <cell r="O120">
            <v>12.989999999999998</v>
          </cell>
          <cell r="P120">
            <v>932175.53000000014</v>
          </cell>
          <cell r="Q120">
            <v>0.28823142916599376</v>
          </cell>
          <cell r="R120">
            <v>43073162.07</v>
          </cell>
          <cell r="S120">
            <v>13.278231429165993</v>
          </cell>
          <cell r="T120">
            <v>0</v>
          </cell>
          <cell r="U120">
            <v>0</v>
          </cell>
          <cell r="V120">
            <v>43073162.07</v>
          </cell>
          <cell r="W120">
            <v>13.213015496775366</v>
          </cell>
        </row>
        <row r="121">
          <cell r="A121" t="str">
            <v>ALLOCAT. OF INDIRECT(ADM)</v>
          </cell>
          <cell r="D121">
            <v>678077.4</v>
          </cell>
          <cell r="E121">
            <v>0.2102849221522903</v>
          </cell>
          <cell r="F121">
            <v>18685.82</v>
          </cell>
          <cell r="G121">
            <v>5.7320154213130201E-3</v>
          </cell>
          <cell r="H121">
            <v>110525.56</v>
          </cell>
          <cell r="I121">
            <v>3.390454442830218E-2</v>
          </cell>
          <cell r="J121">
            <v>124886.75000000001</v>
          </cell>
          <cell r="K121">
            <v>3.8309947164088275E-2</v>
          </cell>
          <cell r="L121">
            <v>254098.13</v>
          </cell>
          <cell r="M121">
            <v>7.7946507013703467E-2</v>
          </cell>
          <cell r="N121">
            <v>932175.53</v>
          </cell>
          <cell r="O121">
            <v>0.28823142916599376</v>
          </cell>
        </row>
        <row r="122">
          <cell r="A122" t="str">
            <v>TOTAL COST OF PRODUCT(A)</v>
          </cell>
          <cell r="D122">
            <v>31542785.189999998</v>
          </cell>
          <cell r="E122">
            <v>9.7602849221522909</v>
          </cell>
          <cell r="F122">
            <v>817094.67999999982</v>
          </cell>
          <cell r="G122">
            <v>0.235732015421313</v>
          </cell>
          <cell r="H122">
            <v>5060817.919999999</v>
          </cell>
          <cell r="I122">
            <v>1.5539045444283022</v>
          </cell>
          <cell r="J122">
            <v>5652464.2800000003</v>
          </cell>
          <cell r="K122">
            <v>1.7283099471640884</v>
          </cell>
          <cell r="L122">
            <v>11530376.879999999</v>
          </cell>
          <cell r="M122">
            <v>3.5179465070137028</v>
          </cell>
          <cell r="N122">
            <v>43073162.070000008</v>
          </cell>
          <cell r="O122">
            <v>13.278231429165992</v>
          </cell>
        </row>
        <row r="123">
          <cell r="A123" t="str">
            <v>DEPRECIATION (B)</v>
          </cell>
          <cell r="D123">
            <v>2236290.9999999991</v>
          </cell>
          <cell r="E123">
            <v>0.69</v>
          </cell>
          <cell r="F123">
            <v>311039.28999999998</v>
          </cell>
          <cell r="G123">
            <v>0.1</v>
          </cell>
          <cell r="H123">
            <v>670959.61</v>
          </cell>
          <cell r="I123">
            <v>0.21</v>
          </cell>
          <cell r="J123">
            <v>1200036.75</v>
          </cell>
          <cell r="K123">
            <v>0.37</v>
          </cell>
          <cell r="L123">
            <v>2182035.65</v>
          </cell>
          <cell r="M123">
            <v>0.67999999999999994</v>
          </cell>
          <cell r="N123">
            <v>4418326.6499999985</v>
          </cell>
          <cell r="O123">
            <v>1.3699999999999999</v>
          </cell>
        </row>
        <row r="124">
          <cell r="A124" t="str">
            <v>TOTAL (A - B)</v>
          </cell>
          <cell r="D124">
            <v>29306494.189999998</v>
          </cell>
          <cell r="E124">
            <v>9.07</v>
          </cell>
          <cell r="F124">
            <v>506055.39</v>
          </cell>
          <cell r="G124">
            <v>0.14000000000000001</v>
          </cell>
          <cell r="H124">
            <v>4389858.3099999996</v>
          </cell>
          <cell r="I124">
            <v>1.34</v>
          </cell>
          <cell r="J124">
            <v>4452427.53</v>
          </cell>
          <cell r="K124">
            <v>1.36</v>
          </cell>
          <cell r="L124">
            <v>9348341.2300000004</v>
          </cell>
          <cell r="M124">
            <v>2.84</v>
          </cell>
          <cell r="N124">
            <v>38654835.420000002</v>
          </cell>
          <cell r="O124">
            <v>11.91</v>
          </cell>
        </row>
      </sheetData>
      <sheetData sheetId="5"/>
      <sheetData sheetId="6"/>
      <sheetData sheetId="7"/>
      <sheetData sheetId="8"/>
      <sheetData sheetId="9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  <sheetData sheetId="32" refreshError="1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J43"/>
  <sheetViews>
    <sheetView showGridLines="0" tabSelected="1" view="pageBreakPreview" zoomScale="75" zoomScaleNormal="75" zoomScaleSheetLayoutView="75" workbookViewId="0">
      <selection activeCell="H1" sqref="H1"/>
    </sheetView>
  </sheetViews>
  <sheetFormatPr defaultColWidth="7.5546875" defaultRowHeight="15" customHeight="1"/>
  <cols>
    <col min="1" max="3" width="9" style="17" customWidth="1"/>
    <col min="4" max="5" width="10.77734375" style="17" customWidth="1"/>
    <col min="6" max="8" width="9" style="17" customWidth="1"/>
    <col min="9" max="16384" width="7.5546875" style="17"/>
  </cols>
  <sheetData>
    <row r="1" spans="1:10" s="83" customFormat="1" ht="15" customHeight="1">
      <c r="A1" s="143"/>
      <c r="B1" s="144"/>
      <c r="C1" s="144"/>
      <c r="D1" s="144"/>
      <c r="E1" s="144"/>
      <c r="F1" s="144"/>
      <c r="G1" s="144"/>
      <c r="H1" s="145"/>
      <c r="I1" s="2"/>
      <c r="J1" s="2"/>
    </row>
    <row r="2" spans="1:10" s="83" customFormat="1" ht="15" customHeight="1">
      <c r="A2" s="146"/>
      <c r="B2" s="1"/>
      <c r="C2" s="2"/>
      <c r="D2" s="2"/>
      <c r="E2" s="2"/>
      <c r="F2" s="2"/>
      <c r="G2" s="2"/>
      <c r="H2" s="147"/>
      <c r="I2" s="2"/>
      <c r="J2" s="2"/>
    </row>
    <row r="3" spans="1:10" s="83" customFormat="1" ht="15" customHeight="1">
      <c r="A3" s="146"/>
      <c r="B3" s="1"/>
      <c r="C3" s="2"/>
      <c r="D3" s="2"/>
      <c r="E3" s="2"/>
      <c r="F3" s="2"/>
      <c r="G3" s="2"/>
      <c r="H3" s="147"/>
      <c r="I3" s="2"/>
      <c r="J3" s="2"/>
    </row>
    <row r="4" spans="1:10" s="84" customFormat="1" ht="15" customHeight="1">
      <c r="A4" s="146"/>
      <c r="B4" s="1" t="s">
        <v>0</v>
      </c>
      <c r="C4" s="2"/>
      <c r="D4" s="2"/>
      <c r="E4" s="2"/>
      <c r="F4" s="2"/>
      <c r="G4" s="2"/>
      <c r="H4" s="147"/>
      <c r="I4" s="2"/>
      <c r="J4" s="2"/>
    </row>
    <row r="5" spans="1:10" s="18" customFormat="1" ht="15" customHeight="1">
      <c r="A5" s="148"/>
      <c r="B5" s="4"/>
      <c r="C5" s="4"/>
      <c r="D5" s="4"/>
      <c r="E5" s="5"/>
      <c r="F5" s="5"/>
      <c r="G5" s="4"/>
      <c r="H5" s="149"/>
    </row>
    <row r="6" spans="1:10" ht="15" customHeight="1">
      <c r="A6" s="150"/>
      <c r="B6" s="6"/>
      <c r="C6" s="7"/>
      <c r="D6" s="8"/>
      <c r="E6" s="7"/>
      <c r="F6" s="7"/>
      <c r="G6" s="7"/>
      <c r="H6" s="151"/>
    </row>
    <row r="7" spans="1:10" ht="15" customHeight="1">
      <c r="A7" s="150"/>
      <c r="B7" s="6"/>
      <c r="C7" s="7"/>
      <c r="D7" s="8"/>
      <c r="E7" s="7"/>
      <c r="F7" s="7"/>
      <c r="G7" s="7"/>
      <c r="H7" s="151"/>
    </row>
    <row r="8" spans="1:10" ht="15" customHeight="1">
      <c r="A8" s="150"/>
      <c r="B8" s="6"/>
      <c r="C8" s="7"/>
      <c r="D8" s="8"/>
      <c r="E8" s="7"/>
      <c r="F8" s="7"/>
      <c r="G8" s="7"/>
      <c r="H8" s="151"/>
    </row>
    <row r="9" spans="1:10" ht="15" customHeight="1">
      <c r="A9" s="150"/>
      <c r="B9" s="6"/>
      <c r="C9" s="7"/>
      <c r="D9" s="8"/>
      <c r="E9" s="7"/>
      <c r="F9" s="7"/>
      <c r="G9" s="7"/>
      <c r="H9" s="151"/>
    </row>
    <row r="10" spans="1:10" ht="15" customHeight="1">
      <c r="A10" s="152"/>
      <c r="B10" s="19"/>
      <c r="C10" s="19"/>
      <c r="D10" s="19"/>
      <c r="E10" s="19"/>
      <c r="F10" s="19"/>
      <c r="G10" s="19"/>
      <c r="H10" s="151"/>
    </row>
    <row r="11" spans="1:10" ht="15" customHeight="1">
      <c r="A11" s="153"/>
      <c r="H11" s="151"/>
    </row>
    <row r="12" spans="1:10" s="20" customFormat="1" ht="32.25">
      <c r="A12" s="453" t="s">
        <v>1</v>
      </c>
      <c r="B12" s="454"/>
      <c r="C12" s="454"/>
      <c r="D12" s="454"/>
      <c r="E12" s="454"/>
      <c r="F12" s="454"/>
      <c r="G12" s="454"/>
      <c r="H12" s="455"/>
    </row>
    <row r="13" spans="1:10" s="20" customFormat="1" ht="26.25">
      <c r="A13" s="456">
        <v>45082</v>
      </c>
      <c r="B13" s="457"/>
      <c r="C13" s="457"/>
      <c r="D13" s="457"/>
      <c r="E13" s="457"/>
      <c r="F13" s="457"/>
      <c r="G13" s="457"/>
      <c r="H13" s="458"/>
    </row>
    <row r="14" spans="1:10" s="20" customFormat="1" ht="15" customHeight="1">
      <c r="A14" s="154"/>
      <c r="B14" s="9"/>
      <c r="C14" s="9"/>
      <c r="D14" s="9"/>
      <c r="E14" s="9"/>
      <c r="F14" s="9"/>
      <c r="G14" s="9"/>
      <c r="H14" s="155"/>
    </row>
    <row r="15" spans="1:10" s="20" customFormat="1" ht="15" customHeight="1">
      <c r="A15" s="154"/>
      <c r="B15" s="9"/>
      <c r="C15" s="9"/>
      <c r="D15" s="9"/>
      <c r="E15" s="9"/>
      <c r="F15" s="9"/>
      <c r="G15" s="9"/>
      <c r="H15" s="155"/>
    </row>
    <row r="16" spans="1:10" s="20" customFormat="1" ht="15" customHeight="1">
      <c r="A16" s="154"/>
      <c r="B16" s="9"/>
      <c r="C16" s="9"/>
      <c r="D16" s="9"/>
      <c r="E16" s="9"/>
      <c r="F16" s="9"/>
      <c r="G16" s="9"/>
      <c r="H16" s="155"/>
    </row>
    <row r="17" spans="1:8" s="20" customFormat="1" ht="15" customHeight="1">
      <c r="A17" s="154"/>
      <c r="B17" s="9"/>
      <c r="C17" s="9"/>
      <c r="D17" s="9"/>
      <c r="E17" s="9"/>
      <c r="F17" s="9"/>
      <c r="G17" s="9"/>
      <c r="H17" s="155"/>
    </row>
    <row r="18" spans="1:8" s="20" customFormat="1" ht="15" customHeight="1">
      <c r="A18" s="154"/>
      <c r="B18" s="9"/>
      <c r="C18" s="9"/>
      <c r="D18" s="9"/>
      <c r="E18" s="9"/>
      <c r="F18" s="9"/>
      <c r="G18" s="9"/>
      <c r="H18" s="155"/>
    </row>
    <row r="19" spans="1:8" ht="15" customHeight="1">
      <c r="A19" s="150"/>
      <c r="B19" s="3"/>
      <c r="C19" s="7"/>
      <c r="D19" s="8"/>
      <c r="E19" s="7"/>
      <c r="F19" s="7"/>
      <c r="G19" s="7"/>
      <c r="H19" s="151"/>
    </row>
    <row r="20" spans="1:8" ht="15" customHeight="1">
      <c r="A20" s="150"/>
      <c r="B20" s="6"/>
      <c r="C20" s="7"/>
      <c r="D20" s="8"/>
      <c r="E20" s="7"/>
      <c r="F20" s="7"/>
      <c r="G20" s="7"/>
      <c r="H20" s="151"/>
    </row>
    <row r="21" spans="1:8" ht="15" customHeight="1">
      <c r="A21" s="156"/>
      <c r="B21" s="6"/>
      <c r="C21" s="7"/>
      <c r="D21" s="8"/>
      <c r="E21" s="7"/>
      <c r="F21" s="7"/>
      <c r="G21" s="7"/>
      <c r="H21" s="151"/>
    </row>
    <row r="22" spans="1:8" ht="26.25" customHeight="1">
      <c r="A22" s="157" t="s">
        <v>2</v>
      </c>
      <c r="B22" s="4"/>
      <c r="C22" s="4"/>
      <c r="D22" s="4"/>
      <c r="E22" s="5"/>
      <c r="F22" s="5"/>
      <c r="G22" s="4"/>
      <c r="H22" s="149"/>
    </row>
    <row r="23" spans="1:8" ht="15" customHeight="1">
      <c r="A23" s="158"/>
      <c r="B23" s="10"/>
      <c r="C23" s="10"/>
      <c r="D23" s="10"/>
      <c r="E23" s="11"/>
      <c r="F23" s="11"/>
      <c r="G23" s="10"/>
      <c r="H23" s="159"/>
    </row>
    <row r="24" spans="1:8" ht="24.95" customHeight="1">
      <c r="A24" s="153"/>
      <c r="B24" s="10"/>
      <c r="C24" s="12" t="s">
        <v>3</v>
      </c>
      <c r="D24" s="15"/>
      <c r="E24" s="16"/>
      <c r="F24" s="16"/>
      <c r="G24" s="10"/>
      <c r="H24" s="159"/>
    </row>
    <row r="25" spans="1:8" ht="24.95" customHeight="1">
      <c r="A25" s="153"/>
      <c r="B25" s="10"/>
      <c r="C25" s="12" t="s">
        <v>4</v>
      </c>
      <c r="D25" s="15"/>
      <c r="E25" s="16"/>
      <c r="F25" s="16"/>
      <c r="G25" s="10"/>
      <c r="H25" s="159"/>
    </row>
    <row r="26" spans="1:8" ht="24.95" customHeight="1">
      <c r="A26" s="153"/>
      <c r="B26" s="10"/>
      <c r="C26" s="12" t="s">
        <v>5</v>
      </c>
      <c r="D26" s="15"/>
      <c r="E26" s="16"/>
      <c r="F26" s="16"/>
      <c r="G26" s="10"/>
      <c r="H26" s="159"/>
    </row>
    <row r="27" spans="1:8" ht="24" customHeight="1">
      <c r="A27" s="153"/>
      <c r="B27" s="10"/>
      <c r="C27" s="12" t="s">
        <v>6</v>
      </c>
      <c r="D27" s="15"/>
      <c r="E27" s="16"/>
      <c r="F27" s="16"/>
      <c r="G27" s="10"/>
      <c r="H27" s="159"/>
    </row>
    <row r="28" spans="1:8" ht="24.95" customHeight="1">
      <c r="A28" s="153"/>
      <c r="B28" s="10"/>
      <c r="C28" s="12" t="s">
        <v>7</v>
      </c>
      <c r="D28" s="15"/>
      <c r="E28" s="16"/>
      <c r="F28" s="16"/>
      <c r="G28" s="10"/>
      <c r="H28" s="159"/>
    </row>
    <row r="29" spans="1:8" ht="24.95" customHeight="1">
      <c r="A29" s="153"/>
      <c r="B29" s="10"/>
      <c r="C29" s="12" t="s">
        <v>8</v>
      </c>
      <c r="D29" s="15"/>
      <c r="E29" s="16"/>
      <c r="F29" s="16"/>
      <c r="G29" s="10"/>
      <c r="H29" s="159"/>
    </row>
    <row r="30" spans="1:8" ht="24.95" customHeight="1">
      <c r="A30" s="153"/>
      <c r="B30" s="10"/>
      <c r="C30" s="12"/>
      <c r="D30" s="15"/>
      <c r="E30" s="16"/>
      <c r="F30" s="16"/>
      <c r="G30" s="10"/>
      <c r="H30" s="159"/>
    </row>
    <row r="31" spans="1:8" ht="15" customHeight="1">
      <c r="A31" s="158"/>
      <c r="B31" s="10"/>
      <c r="C31" s="10"/>
      <c r="D31" s="10"/>
      <c r="E31" s="11"/>
      <c r="F31" s="11"/>
      <c r="G31" s="10"/>
      <c r="H31" s="159"/>
    </row>
    <row r="32" spans="1:8" ht="15" customHeight="1">
      <c r="A32" s="158"/>
      <c r="B32" s="10"/>
      <c r="C32" s="10"/>
      <c r="D32" s="10"/>
      <c r="E32" s="11"/>
      <c r="F32" s="11"/>
      <c r="G32" s="10"/>
      <c r="H32" s="159"/>
    </row>
    <row r="33" spans="1:8" ht="15" customHeight="1">
      <c r="A33" s="158"/>
      <c r="B33" s="10"/>
      <c r="C33" s="10"/>
      <c r="D33" s="10"/>
      <c r="E33" s="11"/>
      <c r="F33" s="11"/>
      <c r="G33" s="10"/>
      <c r="H33" s="159"/>
    </row>
    <row r="34" spans="1:8" ht="15" customHeight="1">
      <c r="A34" s="158"/>
      <c r="B34" s="10"/>
      <c r="C34" s="10"/>
      <c r="D34" s="10"/>
      <c r="E34" s="11"/>
      <c r="F34" s="11"/>
      <c r="G34" s="10"/>
      <c r="H34" s="159"/>
    </row>
    <row r="35" spans="1:8" ht="15" customHeight="1">
      <c r="A35" s="153"/>
      <c r="H35" s="151"/>
    </row>
    <row r="36" spans="1:8" ht="15" customHeight="1">
      <c r="A36" s="153"/>
      <c r="H36" s="151"/>
    </row>
    <row r="37" spans="1:8" ht="15" customHeight="1">
      <c r="A37" s="153"/>
      <c r="H37" s="151"/>
    </row>
    <row r="38" spans="1:8" ht="15" customHeight="1">
      <c r="A38" s="153"/>
      <c r="H38" s="151"/>
    </row>
    <row r="39" spans="1:8" ht="15" customHeight="1">
      <c r="A39" s="153"/>
      <c r="H39" s="151"/>
    </row>
    <row r="40" spans="1:8" s="21" customFormat="1" ht="15" customHeight="1">
      <c r="A40" s="160"/>
      <c r="B40" s="13"/>
      <c r="C40" s="13"/>
      <c r="D40" s="13"/>
      <c r="E40" s="14"/>
      <c r="F40" s="14"/>
      <c r="G40" s="13"/>
      <c r="H40" s="161"/>
    </row>
    <row r="41" spans="1:8" s="21" customFormat="1" ht="15" customHeight="1">
      <c r="A41" s="160" t="s">
        <v>9</v>
      </c>
      <c r="B41" s="13"/>
      <c r="C41" s="13"/>
      <c r="D41" s="13"/>
      <c r="E41" s="14"/>
      <c r="F41" s="14"/>
      <c r="G41" s="13"/>
      <c r="H41" s="161"/>
    </row>
    <row r="42" spans="1:8" ht="15" customHeight="1">
      <c r="A42" s="153"/>
      <c r="H42" s="151"/>
    </row>
    <row r="43" spans="1:8" ht="15" customHeight="1" thickBot="1">
      <c r="A43" s="162"/>
      <c r="B43" s="163"/>
      <c r="C43" s="163"/>
      <c r="D43" s="163"/>
      <c r="E43" s="163"/>
      <c r="F43" s="163"/>
      <c r="G43" s="163"/>
      <c r="H43" s="164"/>
    </row>
  </sheetData>
  <mergeCells count="2">
    <mergeCell ref="A12:H12"/>
    <mergeCell ref="A13:H13"/>
  </mergeCells>
  <phoneticPr fontId="88" type="noConversion"/>
  <printOptions horizontalCentered="1" verticalCentered="1"/>
  <pageMargins left="0.7" right="0.7" top="1" bottom="1" header="0.54" footer="0.54"/>
  <pageSetup paperSize="9" orientation="portrait" r:id="rId1"/>
  <headerFooter>
    <oddFooter>&amp;LNo. Form : FM/CH-018&amp;RReported by Production Department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T95"/>
  <sheetViews>
    <sheetView showGridLines="0" view="pageBreakPreview" zoomScale="85" zoomScaleNormal="100" zoomScaleSheetLayoutView="85" workbookViewId="0">
      <selection activeCell="D1" sqref="D1:L3"/>
    </sheetView>
  </sheetViews>
  <sheetFormatPr defaultColWidth="8.77734375" defaultRowHeight="14.25"/>
  <cols>
    <col min="1" max="2" width="7.77734375" style="23" customWidth="1"/>
    <col min="3" max="13" width="9.44140625" style="23" customWidth="1"/>
    <col min="14" max="14" width="9.44140625" style="22" customWidth="1"/>
    <col min="15" max="17" width="8.88671875" style="23" customWidth="1"/>
    <col min="18" max="18" width="11.44140625" style="23" customWidth="1"/>
    <col min="19" max="19" width="13" style="23" hidden="1" customWidth="1"/>
    <col min="20" max="20" width="11.44140625" style="23" bestFit="1" customWidth="1"/>
    <col min="21" max="16384" width="8.77734375" style="23"/>
  </cols>
  <sheetData>
    <row r="1" spans="1:19" ht="14.25" customHeight="1">
      <c r="A1" s="294"/>
      <c r="B1" s="295"/>
      <c r="C1" s="296"/>
      <c r="D1" s="531" t="s">
        <v>10</v>
      </c>
      <c r="E1" s="532"/>
      <c r="F1" s="532"/>
      <c r="G1" s="532"/>
      <c r="H1" s="532"/>
      <c r="I1" s="532"/>
      <c r="J1" s="532"/>
      <c r="K1" s="532"/>
      <c r="L1" s="533"/>
      <c r="M1" s="544" t="s">
        <v>11</v>
      </c>
      <c r="N1" s="545"/>
      <c r="O1" s="542" t="s">
        <v>12</v>
      </c>
      <c r="P1" s="542"/>
      <c r="Q1" s="542"/>
      <c r="R1" s="543"/>
    </row>
    <row r="2" spans="1:19" ht="14.25" customHeight="1">
      <c r="A2" s="85"/>
      <c r="B2" s="86"/>
      <c r="C2" s="87"/>
      <c r="D2" s="534"/>
      <c r="E2" s="535"/>
      <c r="F2" s="535"/>
      <c r="G2" s="535"/>
      <c r="H2" s="535"/>
      <c r="I2" s="535"/>
      <c r="J2" s="535"/>
      <c r="K2" s="535"/>
      <c r="L2" s="536"/>
      <c r="M2" s="546" t="s">
        <v>13</v>
      </c>
      <c r="N2" s="547"/>
      <c r="O2" s="523" t="s">
        <v>14</v>
      </c>
      <c r="P2" s="523"/>
      <c r="Q2" s="523"/>
      <c r="R2" s="524"/>
    </row>
    <row r="3" spans="1:19" ht="14.25" customHeight="1">
      <c r="A3" s="85"/>
      <c r="B3" s="86"/>
      <c r="C3" s="87"/>
      <c r="D3" s="537"/>
      <c r="E3" s="538"/>
      <c r="F3" s="538"/>
      <c r="G3" s="538"/>
      <c r="H3" s="538"/>
      <c r="I3" s="538"/>
      <c r="J3" s="538"/>
      <c r="K3" s="538"/>
      <c r="L3" s="539"/>
      <c r="M3" s="546" t="s">
        <v>15</v>
      </c>
      <c r="N3" s="547"/>
      <c r="O3" s="525">
        <v>38822</v>
      </c>
      <c r="P3" s="525"/>
      <c r="Q3" s="525"/>
      <c r="R3" s="526"/>
    </row>
    <row r="4" spans="1:19" ht="14.25" customHeight="1">
      <c r="A4" s="88"/>
      <c r="B4" s="89"/>
      <c r="C4" s="90"/>
      <c r="D4" s="166" t="s">
        <v>16</v>
      </c>
      <c r="E4" s="540">
        <f>+Cover!A13</f>
        <v>45082</v>
      </c>
      <c r="F4" s="540"/>
      <c r="G4" s="540"/>
      <c r="H4" s="540"/>
      <c r="I4" s="540"/>
      <c r="J4" s="540"/>
      <c r="K4" s="540"/>
      <c r="L4" s="541"/>
      <c r="M4" s="548" t="s">
        <v>17</v>
      </c>
      <c r="N4" s="549"/>
      <c r="O4" s="527" t="s">
        <v>18</v>
      </c>
      <c r="P4" s="527"/>
      <c r="Q4" s="527"/>
      <c r="R4" s="528"/>
    </row>
    <row r="5" spans="1:19" s="24" customFormat="1" ht="21.75" customHeight="1">
      <c r="A5" s="24" t="s">
        <v>19</v>
      </c>
      <c r="N5" s="25"/>
    </row>
    <row r="6" spans="1:19" s="26" customFormat="1" ht="21.75" customHeight="1">
      <c r="A6" s="26" t="s">
        <v>20</v>
      </c>
      <c r="N6" s="27"/>
    </row>
    <row r="7" spans="1:19" s="32" customFormat="1" ht="9.9499999999999993" customHeight="1">
      <c r="A7" s="28"/>
      <c r="B7" s="28"/>
      <c r="C7" s="28"/>
      <c r="D7" s="28"/>
      <c r="E7" s="28"/>
      <c r="F7" s="28"/>
      <c r="G7" s="28"/>
      <c r="H7" s="28"/>
      <c r="I7" s="29"/>
      <c r="J7" s="28"/>
      <c r="K7" s="28"/>
      <c r="L7" s="28"/>
      <c r="M7" s="30"/>
      <c r="N7" s="30"/>
      <c r="P7" s="30" t="s">
        <v>21</v>
      </c>
    </row>
    <row r="8" spans="1:19" s="32" customFormat="1" ht="15" customHeight="1">
      <c r="A8" s="514" t="s">
        <v>22</v>
      </c>
      <c r="B8" s="487"/>
      <c r="C8" s="517">
        <f>+E8-7</f>
        <v>45073</v>
      </c>
      <c r="D8" s="518"/>
      <c r="E8" s="519">
        <f>+'2.PAMA'!B9-1</f>
        <v>45080</v>
      </c>
      <c r="F8" s="520"/>
      <c r="G8" s="512" t="s">
        <v>23</v>
      </c>
      <c r="H8" s="513"/>
      <c r="I8" s="511" t="s">
        <v>24</v>
      </c>
      <c r="J8" s="512"/>
      <c r="K8" s="512"/>
      <c r="L8" s="512"/>
      <c r="M8" s="513"/>
      <c r="N8" s="552" t="s">
        <v>25</v>
      </c>
      <c r="O8" s="553"/>
      <c r="P8" s="554"/>
      <c r="Q8" s="253"/>
      <c r="R8" s="254"/>
    </row>
    <row r="9" spans="1:19" s="32" customFormat="1" ht="39" customHeight="1" thickBot="1">
      <c r="A9" s="515"/>
      <c r="B9" s="516"/>
      <c r="C9" s="33" t="s">
        <v>26</v>
      </c>
      <c r="D9" s="34" t="s">
        <v>27</v>
      </c>
      <c r="E9" s="33" t="s">
        <v>26</v>
      </c>
      <c r="F9" s="34" t="s">
        <v>27</v>
      </c>
      <c r="G9" s="33" t="s">
        <v>26</v>
      </c>
      <c r="H9" s="34" t="s">
        <v>27</v>
      </c>
      <c r="I9" s="35" t="s">
        <v>28</v>
      </c>
      <c r="J9" s="36" t="s">
        <v>29</v>
      </c>
      <c r="K9" s="36" t="s">
        <v>30</v>
      </c>
      <c r="L9" s="36" t="s">
        <v>31</v>
      </c>
      <c r="M9" s="34" t="s">
        <v>32</v>
      </c>
      <c r="N9" s="555"/>
      <c r="O9" s="556"/>
      <c r="P9" s="557"/>
      <c r="Q9" s="253"/>
      <c r="R9" s="254"/>
      <c r="S9" s="31">
        <v>336</v>
      </c>
    </row>
    <row r="10" spans="1:19" s="32" customFormat="1" ht="15" customHeight="1" thickTop="1">
      <c r="A10" s="468" t="s">
        <v>33</v>
      </c>
      <c r="B10" s="190" t="s">
        <v>34</v>
      </c>
      <c r="C10" s="216">
        <v>4.7190000000000003</v>
      </c>
      <c r="D10" s="209">
        <v>3.6309</v>
      </c>
      <c r="E10" s="216">
        <f>'2.PAMA'!J288/1000</f>
        <v>0.78</v>
      </c>
      <c r="F10" s="209">
        <f>'2.PAMA'!P288/1000</f>
        <v>0.74099999999999999</v>
      </c>
      <c r="G10" s="191">
        <f>E10-C10</f>
        <v>-3.9390000000000001</v>
      </c>
      <c r="H10" s="192">
        <f t="shared" ref="H10" si="0">F10-D10</f>
        <v>-2.8898999999999999</v>
      </c>
      <c r="I10" s="93">
        <f>J10*K10</f>
        <v>25.291666666666668</v>
      </c>
      <c r="J10" s="100">
        <f>(S10/$S$9)/1000</f>
        <v>3.6130952380952381</v>
      </c>
      <c r="K10" s="100">
        <v>7</v>
      </c>
      <c r="L10" s="100">
        <f>E10/J10</f>
        <v>0.21588138385502473</v>
      </c>
      <c r="M10" s="114">
        <f t="shared" ref="M10:M13" si="1">E10-I10</f>
        <v>-24.511666666666667</v>
      </c>
      <c r="Q10" s="194"/>
      <c r="S10" s="31">
        <v>1214000</v>
      </c>
    </row>
    <row r="11" spans="1:19" s="32" customFormat="1" ht="15" customHeight="1">
      <c r="A11" s="481"/>
      <c r="B11" s="37" t="s">
        <v>36</v>
      </c>
      <c r="C11" s="215">
        <v>4.7190000000000003</v>
      </c>
      <c r="D11" s="205">
        <v>3.6309</v>
      </c>
      <c r="E11" s="215">
        <f>SUM(E10:E10)</f>
        <v>0.78</v>
      </c>
      <c r="F11" s="205">
        <f>SUM(F10:F10)</f>
        <v>0.74099999999999999</v>
      </c>
      <c r="G11" s="170">
        <f>E11-C11</f>
        <v>-3.9390000000000001</v>
      </c>
      <c r="H11" s="171">
        <f>F11-D11</f>
        <v>-2.8898999999999999</v>
      </c>
      <c r="I11" s="172">
        <f>SUM(I10:I10)</f>
        <v>25.291666666666668</v>
      </c>
      <c r="J11" s="173">
        <f>SUM(J10:J10)</f>
        <v>3.6130952380952381</v>
      </c>
      <c r="K11" s="173">
        <f>(J10*K10)/J11</f>
        <v>7</v>
      </c>
      <c r="L11" s="173">
        <f>E11/J11</f>
        <v>0.21588138385502473</v>
      </c>
      <c r="M11" s="105">
        <f t="shared" si="1"/>
        <v>-24.511666666666667</v>
      </c>
      <c r="N11" s="185" t="s">
        <v>35</v>
      </c>
      <c r="P11" s="184"/>
      <c r="Q11" s="255"/>
      <c r="S11" s="31"/>
    </row>
    <row r="12" spans="1:19" s="32" customFormat="1" ht="15" customHeight="1">
      <c r="A12" s="521" t="s">
        <v>38</v>
      </c>
      <c r="B12" s="39" t="s">
        <v>39</v>
      </c>
      <c r="C12" s="92">
        <v>6.5519999999999996</v>
      </c>
      <c r="D12" s="208">
        <v>5.7797999999999998</v>
      </c>
      <c r="E12" s="92">
        <f>'2.PAMA'!J289/1000</f>
        <v>7.3840000000000003</v>
      </c>
      <c r="F12" s="208">
        <f>'2.PAMA'!P289/1000</f>
        <v>7.0147999999999993</v>
      </c>
      <c r="G12" s="110">
        <f t="shared" ref="G12" si="2">E12-C12</f>
        <v>0.83200000000000074</v>
      </c>
      <c r="H12" s="111">
        <f t="shared" ref="H12" si="3">F12-D12</f>
        <v>1.2349999999999994</v>
      </c>
      <c r="I12" s="92">
        <f>J12*K12</f>
        <v>67.479166666666671</v>
      </c>
      <c r="J12" s="99">
        <f>(S12/$S$9)/1000</f>
        <v>9.6398809523809526</v>
      </c>
      <c r="K12" s="99">
        <v>7</v>
      </c>
      <c r="L12" s="99">
        <f>E12/J12</f>
        <v>0.76598456313677066</v>
      </c>
      <c r="M12" s="111">
        <f t="shared" si="1"/>
        <v>-60.095166666666671</v>
      </c>
      <c r="N12" s="447" t="s">
        <v>37</v>
      </c>
      <c r="O12" s="448"/>
      <c r="P12" s="186">
        <f>+('2.PAMA'!J300+'2.SIMS'!J49+'2.PETROSEA'!J60+'2.BIMA'!J67+'2.KMI'!J26)/1000</f>
        <v>0.78</v>
      </c>
      <c r="Q12" s="252"/>
      <c r="S12" s="31">
        <v>3239000</v>
      </c>
    </row>
    <row r="13" spans="1:19" s="32" customFormat="1" ht="15" customHeight="1">
      <c r="A13" s="522"/>
      <c r="B13" s="37" t="s">
        <v>36</v>
      </c>
      <c r="C13" s="215">
        <v>6.5519999999999996</v>
      </c>
      <c r="D13" s="205">
        <v>5.7797999999999998</v>
      </c>
      <c r="E13" s="215">
        <f>SUM(E12:E12)</f>
        <v>7.3840000000000003</v>
      </c>
      <c r="F13" s="205">
        <f>SUM(F12:F12)</f>
        <v>7.0147999999999993</v>
      </c>
      <c r="G13" s="170">
        <f>E13-C13</f>
        <v>0.83200000000000074</v>
      </c>
      <c r="H13" s="171">
        <f t="shared" ref="H13" si="4">F13-D13</f>
        <v>1.2349999999999994</v>
      </c>
      <c r="I13" s="172">
        <f>SUM(I12:I12)</f>
        <v>67.479166666666671</v>
      </c>
      <c r="J13" s="173">
        <f>SUM(J12:J12)</f>
        <v>9.6398809523809526</v>
      </c>
      <c r="K13" s="173">
        <f>(J12*K12)/J13</f>
        <v>7</v>
      </c>
      <c r="L13" s="173">
        <f>E13/J13</f>
        <v>0.76598456313677066</v>
      </c>
      <c r="M13" s="105">
        <f t="shared" si="1"/>
        <v>-60.095166666666671</v>
      </c>
      <c r="N13" s="441" t="s">
        <v>40</v>
      </c>
      <c r="O13" s="442"/>
      <c r="P13" s="186">
        <f>+('2.PAMA'!J301+'2.SIMS'!J50+'2.PETROSEA'!J61+'2.BIMA'!J68+'2.KMI'!J27)/1000</f>
        <v>0.78</v>
      </c>
      <c r="Q13" s="255"/>
      <c r="S13" s="31"/>
    </row>
    <row r="14" spans="1:19" s="32" customFormat="1" ht="15" customHeight="1">
      <c r="A14" s="573" t="s">
        <v>42</v>
      </c>
      <c r="B14" s="167" t="s">
        <v>43</v>
      </c>
      <c r="C14" s="206">
        <v>12.48</v>
      </c>
      <c r="D14" s="207">
        <v>5.4340000000000002</v>
      </c>
      <c r="E14" s="206">
        <f>'2.PAMA'!J290/1000</f>
        <v>5.3040000000000003</v>
      </c>
      <c r="F14" s="207">
        <f>'2.PAMA'!P290/1000</f>
        <v>5.0388000000000002</v>
      </c>
      <c r="G14" s="108">
        <f>E14-C14</f>
        <v>-7.1760000000000002</v>
      </c>
      <c r="H14" s="109">
        <f t="shared" ref="H14:H23" si="5">F14-D14</f>
        <v>-0.3952</v>
      </c>
      <c r="I14" s="558">
        <f>J14*K14</f>
        <v>88.979166666666671</v>
      </c>
      <c r="J14" s="529">
        <f>(S14/$S$9)/1000</f>
        <v>12.711309523809524</v>
      </c>
      <c r="K14" s="529">
        <v>7</v>
      </c>
      <c r="L14" s="529">
        <f>(E14+E15)/J14</f>
        <v>0.41726621400140484</v>
      </c>
      <c r="M14" s="563">
        <f>(E14+E15)-I14</f>
        <v>-83.675166666666669</v>
      </c>
      <c r="N14" s="443" t="s">
        <v>41</v>
      </c>
      <c r="O14" s="444"/>
      <c r="P14" s="186">
        <f>+('2.PAMA'!J302+'2.SIMS'!J51+'2.PETROSEA'!J62+'2.BIMA'!J69+'2.KMI'!J28)/1000</f>
        <v>6.9263999999999992</v>
      </c>
      <c r="Q14" s="252"/>
      <c r="S14" s="560">
        <v>4271000</v>
      </c>
    </row>
    <row r="15" spans="1:19" s="32" customFormat="1" ht="15" customHeight="1">
      <c r="A15" s="573"/>
      <c r="B15" s="167" t="s">
        <v>45</v>
      </c>
      <c r="C15" s="206">
        <v>0</v>
      </c>
      <c r="D15" s="207">
        <v>0</v>
      </c>
      <c r="E15" s="206">
        <f>+'2.PAMA'!J291/1000</f>
        <v>0</v>
      </c>
      <c r="F15" s="207">
        <f>+'2.PAMA'!P291/1000</f>
        <v>0</v>
      </c>
      <c r="G15" s="108">
        <f>E15-C15</f>
        <v>0</v>
      </c>
      <c r="H15" s="109">
        <f t="shared" si="5"/>
        <v>0</v>
      </c>
      <c r="I15" s="559"/>
      <c r="J15" s="530"/>
      <c r="K15" s="530"/>
      <c r="L15" s="530"/>
      <c r="M15" s="572"/>
      <c r="N15" s="449" t="s">
        <v>44</v>
      </c>
      <c r="O15" s="450"/>
      <c r="P15" s="186">
        <f>+('2.PAMA'!J303+'2.SIMS'!J52+'2.PETROSEA'!J63+'2.BIMA'!J70+'2.KMI'!J29)/1000</f>
        <v>11.983919999999999</v>
      </c>
      <c r="Q15" s="255"/>
      <c r="S15" s="560"/>
    </row>
    <row r="16" spans="1:19" s="32" customFormat="1" ht="15" customHeight="1">
      <c r="A16" s="573"/>
      <c r="B16" s="168" t="s">
        <v>47</v>
      </c>
      <c r="C16" s="93">
        <v>3.64</v>
      </c>
      <c r="D16" s="209">
        <v>2.5935000000000001</v>
      </c>
      <c r="E16" s="93">
        <f>+'2.PAMA'!J292/1000</f>
        <v>3.7309999999999999</v>
      </c>
      <c r="F16" s="209">
        <f>+'2.PAMA'!P292/1000</f>
        <v>3.5444499999999999</v>
      </c>
      <c r="G16" s="110">
        <f t="shared" ref="G16" si="6">E16-C16</f>
        <v>9.0999999999999748E-2</v>
      </c>
      <c r="H16" s="111">
        <f>F16-D16</f>
        <v>0.95094999999999974</v>
      </c>
      <c r="I16" s="92">
        <f t="shared" ref="I16" si="7">J16*K16</f>
        <v>17.6875</v>
      </c>
      <c r="J16" s="99">
        <f>(S16/$S$9)/1000</f>
        <v>2.5267857142857144</v>
      </c>
      <c r="K16" s="99">
        <v>7</v>
      </c>
      <c r="L16" s="99">
        <f t="shared" ref="L16" si="8">E16/J16</f>
        <v>1.4765795053003532</v>
      </c>
      <c r="M16" s="111">
        <f t="shared" ref="M16" si="9">E16-I16</f>
        <v>-13.9565</v>
      </c>
      <c r="N16" s="451" t="s">
        <v>46</v>
      </c>
      <c r="O16" s="452"/>
      <c r="P16" s="186">
        <f>+('2.PAMA'!J304+'2.SIMS'!J53+'2.PETROSEA'!J64+'2.BIMA'!J71+'2.KMI'!J30)/1000</f>
        <v>102.62423600000001</v>
      </c>
      <c r="Q16" s="252"/>
      <c r="S16" s="31">
        <v>849000</v>
      </c>
    </row>
    <row r="17" spans="1:19" s="32" customFormat="1" ht="15" customHeight="1">
      <c r="A17" s="573"/>
      <c r="B17" s="169" t="s">
        <v>36</v>
      </c>
      <c r="C17" s="204">
        <v>16.12</v>
      </c>
      <c r="D17" s="210">
        <v>8.0274999999999999</v>
      </c>
      <c r="E17" s="204">
        <f>SUM(E14:E16)</f>
        <v>9.0350000000000001</v>
      </c>
      <c r="F17" s="210">
        <f>SUM(F14:F16)</f>
        <v>8.5832499999999996</v>
      </c>
      <c r="G17" s="112">
        <f t="shared" ref="G17:G26" si="10">E17-C17</f>
        <v>-7.0850000000000009</v>
      </c>
      <c r="H17" s="105">
        <f t="shared" ref="H17" si="11">F17-D17</f>
        <v>0.55574999999999974</v>
      </c>
      <c r="I17" s="91">
        <f>SUM(I14:I16)</f>
        <v>106.66666666666667</v>
      </c>
      <c r="J17" s="98">
        <f>SUM(J14:J16)</f>
        <v>15.238095238095237</v>
      </c>
      <c r="K17" s="174">
        <f>(J14*K14+J16*K16)/J17</f>
        <v>7.0000000000000009</v>
      </c>
      <c r="L17" s="98">
        <f>E17/J17</f>
        <v>0.59292187500000004</v>
      </c>
      <c r="M17" s="105">
        <f>E17-I17</f>
        <v>-97.631666666666675</v>
      </c>
      <c r="N17" s="445" t="s">
        <v>48</v>
      </c>
      <c r="O17" s="446"/>
      <c r="P17" s="187">
        <f>SUM(P12:P16)</f>
        <v>123.09455600000001</v>
      </c>
      <c r="Q17" s="194"/>
      <c r="S17" s="31"/>
    </row>
    <row r="18" spans="1:19" s="32" customFormat="1" ht="15" customHeight="1">
      <c r="A18" s="467" t="s">
        <v>46</v>
      </c>
      <c r="B18" s="40">
        <v>6</v>
      </c>
      <c r="C18" s="211">
        <v>3.9</v>
      </c>
      <c r="D18" s="212">
        <v>2.420925</v>
      </c>
      <c r="E18" s="211">
        <f>'2.PAMA'!J279/1000</f>
        <v>4.29</v>
      </c>
      <c r="F18" s="212">
        <f>'2.PAMA'!P279/1000</f>
        <v>4.0754999999999999</v>
      </c>
      <c r="G18" s="106">
        <f t="shared" ref="G18" si="12">E18-C18</f>
        <v>0.39000000000000012</v>
      </c>
      <c r="H18" s="107">
        <f t="shared" ref="H18" si="13">F18-D18</f>
        <v>1.6545749999999999</v>
      </c>
      <c r="I18" s="211"/>
      <c r="J18" s="283"/>
      <c r="K18" s="283"/>
      <c r="L18" s="283"/>
      <c r="M18" s="107"/>
      <c r="N18" s="194"/>
      <c r="P18" s="195"/>
      <c r="Q18" s="194"/>
      <c r="S18" s="31"/>
    </row>
    <row r="19" spans="1:19" s="32" customFormat="1" ht="15" customHeight="1">
      <c r="A19" s="468"/>
      <c r="B19" s="278" t="s">
        <v>49</v>
      </c>
      <c r="C19" s="279">
        <v>0</v>
      </c>
      <c r="D19" s="280">
        <v>0</v>
      </c>
      <c r="E19" s="279">
        <f>+('2.SIMS'!J21+'2.SIMS'!J32+'2.SIMS'!J38)/1000</f>
        <v>18.72</v>
      </c>
      <c r="F19" s="280">
        <f>+('2.SIMS'!P21+'2.SIMS'!P32+'2.SIMS'!P38)/1000</f>
        <v>16.005600000000001</v>
      </c>
      <c r="G19" s="281">
        <f t="shared" si="10"/>
        <v>18.72</v>
      </c>
      <c r="H19" s="282">
        <f t="shared" si="5"/>
        <v>16.005600000000001</v>
      </c>
      <c r="I19" s="575">
        <f>J19*K19</f>
        <v>178.75</v>
      </c>
      <c r="J19" s="569">
        <f>(S19/$S$9)/1000</f>
        <v>25.535714285714285</v>
      </c>
      <c r="K19" s="569">
        <v>7</v>
      </c>
      <c r="L19" s="569">
        <f>(E19+E20+E21)/J19</f>
        <v>1.5824581818181818</v>
      </c>
      <c r="M19" s="574">
        <f>(E19+E20+E21)-I19</f>
        <v>-138.3408</v>
      </c>
      <c r="Q19" s="194"/>
      <c r="S19" s="560">
        <v>8580000</v>
      </c>
    </row>
    <row r="20" spans="1:19" s="32" customFormat="1" ht="15" customHeight="1">
      <c r="A20" s="468"/>
      <c r="B20" s="38" t="s">
        <v>51</v>
      </c>
      <c r="C20" s="206">
        <v>38.61</v>
      </c>
      <c r="D20" s="207">
        <v>16.672499999999999</v>
      </c>
      <c r="E20" s="206">
        <f>+'2.SIMS'!J46/1000</f>
        <v>14.625</v>
      </c>
      <c r="F20" s="207">
        <f>+'2.SIMS'!P46/1000</f>
        <v>11.578125</v>
      </c>
      <c r="G20" s="108">
        <f t="shared" si="10"/>
        <v>-23.984999999999999</v>
      </c>
      <c r="H20" s="109">
        <f t="shared" si="5"/>
        <v>-5.0943749999999994</v>
      </c>
      <c r="I20" s="575"/>
      <c r="J20" s="569"/>
      <c r="K20" s="569"/>
      <c r="L20" s="569"/>
      <c r="M20" s="574"/>
      <c r="N20" s="185" t="s">
        <v>50</v>
      </c>
      <c r="P20" s="184"/>
      <c r="Q20" s="255"/>
      <c r="S20" s="560"/>
    </row>
    <row r="21" spans="1:19" s="32" customFormat="1" ht="15" customHeight="1">
      <c r="A21" s="468"/>
      <c r="B21" s="39" t="s">
        <v>52</v>
      </c>
      <c r="C21" s="206">
        <v>10.016500000000001</v>
      </c>
      <c r="D21" s="207">
        <v>5.8331877499999996</v>
      </c>
      <c r="E21" s="206">
        <f>'2.PAMA'!J294/1000</f>
        <v>7.0641999999999996</v>
      </c>
      <c r="F21" s="207">
        <f>'2.PAMA'!P294/1000</f>
        <v>6.7109900000000007</v>
      </c>
      <c r="G21" s="108">
        <f>E21-C21</f>
        <v>-2.952300000000001</v>
      </c>
      <c r="H21" s="109">
        <f t="shared" si="5"/>
        <v>0.87780225000000112</v>
      </c>
      <c r="I21" s="264">
        <f>J21*K21</f>
        <v>59.854166666666671</v>
      </c>
      <c r="J21" s="265">
        <f>(S21/$S$9)/1000</f>
        <v>8.550595238095239</v>
      </c>
      <c r="K21" s="265">
        <v>7</v>
      </c>
      <c r="L21" s="265">
        <f t="shared" ref="L21" si="14">E21/J21</f>
        <v>0.8261647058823528</v>
      </c>
      <c r="M21" s="266">
        <f>E21-I21</f>
        <v>-52.789966666666672</v>
      </c>
      <c r="N21" s="447" t="s">
        <v>37</v>
      </c>
      <c r="O21" s="448"/>
      <c r="P21" s="186">
        <f>+('2.PAMA'!P300+'2.SIMS'!P49+'2.PETROSEA'!P60+'2.BIMA'!P67+'2.KMI'!P26)/1000</f>
        <v>0.74099999999999999</v>
      </c>
      <c r="Q21" s="252"/>
      <c r="S21" s="263">
        <v>2873000</v>
      </c>
    </row>
    <row r="22" spans="1:19" s="32" customFormat="1" ht="15" customHeight="1">
      <c r="A22" s="468"/>
      <c r="B22" s="39" t="s">
        <v>347</v>
      </c>
      <c r="C22" s="206"/>
      <c r="D22" s="207"/>
      <c r="E22" s="206"/>
      <c r="F22" s="207"/>
      <c r="G22" s="108"/>
      <c r="H22" s="109"/>
      <c r="I22" s="659"/>
      <c r="J22" s="660"/>
      <c r="K22" s="660"/>
      <c r="L22" s="660"/>
      <c r="M22" s="266"/>
      <c r="N22" s="441" t="s">
        <v>40</v>
      </c>
      <c r="O22" s="442"/>
      <c r="P22" s="186">
        <f>+('2.PAMA'!P301+'2.SIMS'!P50+'2.PETROSEA'!P61+'2.BIMA'!P68+'2.KMI'!P27)/1000</f>
        <v>0.74099999999999999</v>
      </c>
      <c r="Q22" s="449"/>
      <c r="S22" s="263"/>
    </row>
    <row r="23" spans="1:19" s="32" customFormat="1" ht="15" customHeight="1">
      <c r="A23" s="468"/>
      <c r="B23" s="39" t="s">
        <v>53</v>
      </c>
      <c r="C23" s="206">
        <v>170.8811</v>
      </c>
      <c r="D23" s="207">
        <v>40.584261249999997</v>
      </c>
      <c r="E23" s="206">
        <f>+'2.PETROSEA'!J51/1000</f>
        <v>57.925035999999999</v>
      </c>
      <c r="F23" s="207">
        <f>+'2.PETROSEA'!P51/1000</f>
        <v>13.757196050000003</v>
      </c>
      <c r="G23" s="108">
        <f t="shared" si="10"/>
        <v>-112.956064</v>
      </c>
      <c r="H23" s="109">
        <f t="shared" si="5"/>
        <v>-26.827065199999993</v>
      </c>
      <c r="I23" s="92">
        <f>J23*K23</f>
        <v>246.9375</v>
      </c>
      <c r="J23" s="99">
        <f>(S23/$S$9)/1000</f>
        <v>35.276785714285715</v>
      </c>
      <c r="K23" s="99">
        <v>7</v>
      </c>
      <c r="L23" s="99">
        <f t="shared" ref="L23" si="15">E23/J23</f>
        <v>1.6420157003290305</v>
      </c>
      <c r="M23" s="109">
        <f>E23-I23</f>
        <v>-189.01246399999999</v>
      </c>
      <c r="N23" s="550" t="s">
        <v>41</v>
      </c>
      <c r="O23" s="551"/>
      <c r="P23" s="186">
        <f>+('2.PAMA'!P302+'2.SIMS'!P51+'2.PETROSEA'!P62+'2.BIMA'!P69+'2.KMI'!P28)/1000</f>
        <v>6.3803999999999998</v>
      </c>
      <c r="Q23" s="255"/>
      <c r="S23" s="31">
        <v>11853000</v>
      </c>
    </row>
    <row r="24" spans="1:19" s="32" customFormat="1" ht="15" customHeight="1">
      <c r="A24" s="481"/>
      <c r="B24" s="320" t="s">
        <v>36</v>
      </c>
      <c r="C24" s="91">
        <v>223.4076</v>
      </c>
      <c r="D24" s="205">
        <v>65.510874000000001</v>
      </c>
      <c r="E24" s="321">
        <f>SUM(E18:E23)</f>
        <v>102.624236</v>
      </c>
      <c r="F24" s="322">
        <f>SUM(F18:F23)</f>
        <v>52.127411050000006</v>
      </c>
      <c r="G24" s="323">
        <f>E24-C24</f>
        <v>-120.78336400000001</v>
      </c>
      <c r="H24" s="324">
        <f>F24-D24</f>
        <v>-13.383462949999995</v>
      </c>
      <c r="I24" s="321">
        <f>SUM(I19:I23)</f>
        <v>485.54166666666669</v>
      </c>
      <c r="J24" s="325">
        <f>SUM(J19:J23)</f>
        <v>69.363095238095241</v>
      </c>
      <c r="K24" s="98">
        <f>(J19*K19+J23*K23)/J24</f>
        <v>6.13708916158929</v>
      </c>
      <c r="L24" s="98">
        <f>E24/J24</f>
        <v>1.4795221529219942</v>
      </c>
      <c r="M24" s="326">
        <f>E24-I24</f>
        <v>-382.91743066666669</v>
      </c>
      <c r="N24" s="570" t="s">
        <v>44</v>
      </c>
      <c r="O24" s="571"/>
      <c r="P24" s="186">
        <f>+('2.PAMA'!P303+'2.SIMS'!P52+'2.PETROSEA'!P63+'2.BIMA'!P70+'2.KMI'!P29)/1000</f>
        <v>11.425050000000001</v>
      </c>
      <c r="Q24" s="252"/>
      <c r="S24" s="31"/>
    </row>
    <row r="25" spans="1:19" s="32" customFormat="1" ht="15" customHeight="1">
      <c r="A25" s="467" t="s">
        <v>54</v>
      </c>
      <c r="B25" s="40" t="s">
        <v>55</v>
      </c>
      <c r="C25" s="211">
        <v>0</v>
      </c>
      <c r="D25" s="212">
        <v>0</v>
      </c>
      <c r="E25" s="211">
        <f>+('2.BIMA'!J36+'2.BIMA'!K63)/1000</f>
        <v>0</v>
      </c>
      <c r="F25" s="212">
        <f>+('2.BIMA'!P36+'2.BIMA'!K63)/1000</f>
        <v>0</v>
      </c>
      <c r="G25" s="106">
        <f>E25-C25</f>
        <v>0</v>
      </c>
      <c r="H25" s="107">
        <f>F25-D25</f>
        <v>0</v>
      </c>
      <c r="I25" s="558">
        <f>J25*K25</f>
        <v>21.270833333333336</v>
      </c>
      <c r="J25" s="529">
        <f>(S25/$S$9)/1000</f>
        <v>3.0386904761904763</v>
      </c>
      <c r="K25" s="529">
        <v>7</v>
      </c>
      <c r="L25" s="529">
        <f>(E25+E26)/J25</f>
        <v>1.076555847208619</v>
      </c>
      <c r="M25" s="563">
        <f>(E25+E26)-I25</f>
        <v>-17.999513333333336</v>
      </c>
      <c r="N25" s="565" t="s">
        <v>46</v>
      </c>
      <c r="O25" s="566"/>
      <c r="P25" s="186">
        <f>+('2.PAMA'!P304+'2.SIMS'!P53+'2.PETROSEA'!P64+'2.BIMA'!P71+'2.KMI'!P30)/1000</f>
        <v>45.416421050000004</v>
      </c>
      <c r="Q25" s="255"/>
      <c r="S25" s="560">
        <v>1021000</v>
      </c>
    </row>
    <row r="26" spans="1:19" s="32" customFormat="1" ht="15" customHeight="1">
      <c r="A26" s="468"/>
      <c r="B26" s="41" t="s">
        <v>56</v>
      </c>
      <c r="C26" s="93">
        <v>2.5927200000000004</v>
      </c>
      <c r="D26" s="209">
        <v>2.1410999999999998</v>
      </c>
      <c r="E26" s="93">
        <f>+'2.BIMA'!J63/1000</f>
        <v>3.2713200000000002</v>
      </c>
      <c r="F26" s="209">
        <f>+'2.BIMA'!P63/1000</f>
        <v>2.9483999999999999</v>
      </c>
      <c r="G26" s="113">
        <f t="shared" si="10"/>
        <v>0.67859999999999987</v>
      </c>
      <c r="H26" s="114">
        <f>F26-D26</f>
        <v>0.80730000000000013</v>
      </c>
      <c r="I26" s="561"/>
      <c r="J26" s="562"/>
      <c r="K26" s="562"/>
      <c r="L26" s="562"/>
      <c r="M26" s="564"/>
      <c r="Q26" s="252"/>
      <c r="S26" s="560"/>
    </row>
    <row r="27" spans="1:19" s="32" customFormat="1" ht="15" customHeight="1" thickBot="1">
      <c r="A27" s="469"/>
      <c r="B27" s="42" t="s">
        <v>36</v>
      </c>
      <c r="C27" s="213">
        <v>2.5927200000000004</v>
      </c>
      <c r="D27" s="214">
        <v>2.1410999999999998</v>
      </c>
      <c r="E27" s="213">
        <f>SUM(E25:E26)</f>
        <v>3.2713200000000002</v>
      </c>
      <c r="F27" s="214">
        <f t="shared" ref="F27" si="16">SUM(F25:F26)</f>
        <v>2.9483999999999999</v>
      </c>
      <c r="G27" s="115">
        <f t="shared" ref="G27" si="17">E27-C27</f>
        <v>0.67859999999999987</v>
      </c>
      <c r="H27" s="116">
        <f>F27-D27</f>
        <v>0.80730000000000013</v>
      </c>
      <c r="I27" s="101">
        <f>SUM(I25:I25)</f>
        <v>21.270833333333336</v>
      </c>
      <c r="J27" s="102">
        <f>SUM(J25:J25)</f>
        <v>3.0386904761904763</v>
      </c>
      <c r="K27" s="102">
        <f>(J25*K25)/J27</f>
        <v>7.0000000000000009</v>
      </c>
      <c r="L27" s="103">
        <f>E27/J27</f>
        <v>1.076555847208619</v>
      </c>
      <c r="M27" s="116">
        <f>E27-I27</f>
        <v>-17.999513333333336</v>
      </c>
      <c r="N27" s="567" t="s">
        <v>48</v>
      </c>
      <c r="O27" s="568"/>
      <c r="P27" s="187">
        <f>SUM(P21:P25)</f>
        <v>64.703871050000004</v>
      </c>
      <c r="Q27" s="194"/>
      <c r="S27" s="31">
        <f>SUM(S10:S25)</f>
        <v>33900000</v>
      </c>
    </row>
    <row r="28" spans="1:19" s="43" customFormat="1" ht="15" customHeight="1" thickTop="1">
      <c r="A28" s="470" t="s">
        <v>48</v>
      </c>
      <c r="B28" s="471"/>
      <c r="C28" s="94">
        <v>249.72833599999998</v>
      </c>
      <c r="D28" s="95">
        <v>93.626479049999986</v>
      </c>
      <c r="E28" s="94">
        <f>SUM(E11,E13,E17,E24,E27)</f>
        <v>123.094556</v>
      </c>
      <c r="F28" s="95">
        <f>SUM(F11,F13,F17,F24,F27)</f>
        <v>71.414861050000013</v>
      </c>
      <c r="G28" s="117">
        <f>E28-C28</f>
        <v>-126.63377999999999</v>
      </c>
      <c r="H28" s="118">
        <f>F28-D28</f>
        <v>-22.211617999999973</v>
      </c>
      <c r="I28" s="94">
        <f>I24+I13+I17+I11+I27</f>
        <v>706.25</v>
      </c>
      <c r="J28" s="104">
        <f>J24+J13+J17+J11+J27</f>
        <v>100.89285714285715</v>
      </c>
      <c r="K28" s="104">
        <f>(J11*K11+J13*K13+J17*K17+J24*K24+J27*K27)/J28</f>
        <v>6.4067551622418879</v>
      </c>
      <c r="L28" s="104">
        <f>E28/J28</f>
        <v>1.2200522364601769</v>
      </c>
      <c r="M28" s="118">
        <f>E28-I28</f>
        <v>-583.15544399999999</v>
      </c>
      <c r="N28" s="488" t="s">
        <v>57</v>
      </c>
      <c r="O28" s="489"/>
      <c r="P28" s="196">
        <f>+('2.PAMA'!K297+'2.PAMA'!K298+'2.BIMA'!K66+'2.PETROSEA'!K59)/1000</f>
        <v>0</v>
      </c>
      <c r="Q28" s="252"/>
      <c r="S28" s="31"/>
    </row>
    <row r="29" spans="1:19" ht="5.0999999999999996" customHeight="1">
      <c r="A29" s="28"/>
      <c r="B29" s="28"/>
      <c r="C29" s="44"/>
      <c r="D29" s="44"/>
      <c r="E29" s="28"/>
      <c r="F29" s="327"/>
      <c r="G29" s="28"/>
      <c r="H29" s="28"/>
      <c r="I29" s="28"/>
      <c r="J29" s="28"/>
      <c r="K29" s="28"/>
      <c r="L29" s="28"/>
      <c r="M29" s="28"/>
      <c r="N29" s="31"/>
    </row>
    <row r="30" spans="1:19" s="26" customFormat="1" ht="21.75" customHeight="1">
      <c r="A30" s="26" t="s">
        <v>58</v>
      </c>
      <c r="D30" s="45"/>
      <c r="E30" s="45"/>
      <c r="F30" s="45"/>
      <c r="N30" s="27"/>
    </row>
    <row r="31" spans="1:19" s="32" customFormat="1" ht="9.9499999999999993" customHeight="1">
      <c r="A31" s="28"/>
      <c r="B31" s="28"/>
      <c r="C31" s="28"/>
      <c r="D31" s="28"/>
      <c r="E31" s="28"/>
      <c r="F31" s="28"/>
      <c r="G31" s="28"/>
      <c r="H31" s="28"/>
      <c r="K31" s="28"/>
      <c r="L31" s="28"/>
      <c r="M31" s="30" t="s">
        <v>59</v>
      </c>
      <c r="N31" s="28"/>
      <c r="O31" s="28"/>
      <c r="P31" s="28"/>
      <c r="Q31" s="28"/>
      <c r="R31" s="28"/>
    </row>
    <row r="32" spans="1:19" s="32" customFormat="1" ht="15" customHeight="1">
      <c r="A32" s="472" t="s">
        <v>22</v>
      </c>
      <c r="B32" s="473"/>
      <c r="C32" s="46">
        <f>C8</f>
        <v>45073</v>
      </c>
      <c r="D32" s="485">
        <f>'2.PAMA'!B9</f>
        <v>45081</v>
      </c>
      <c r="E32" s="486"/>
      <c r="F32" s="486"/>
      <c r="G32" s="487"/>
      <c r="H32" s="47">
        <f>E8</f>
        <v>45080</v>
      </c>
      <c r="I32" s="483" t="s">
        <v>60</v>
      </c>
      <c r="J32" s="472" t="s">
        <v>25</v>
      </c>
      <c r="K32" s="490"/>
      <c r="L32" s="490"/>
      <c r="M32" s="473"/>
      <c r="N32" s="258"/>
      <c r="O32" s="28"/>
      <c r="P32" s="28"/>
      <c r="Q32" s="28"/>
      <c r="R32" s="28"/>
    </row>
    <row r="33" spans="1:20" s="32" customFormat="1" ht="30" customHeight="1" thickBot="1">
      <c r="A33" s="474"/>
      <c r="B33" s="475"/>
      <c r="C33" s="48" t="s">
        <v>61</v>
      </c>
      <c r="D33" s="49" t="s">
        <v>62</v>
      </c>
      <c r="E33" s="36" t="s">
        <v>63</v>
      </c>
      <c r="F33" s="36" t="s">
        <v>64</v>
      </c>
      <c r="G33" s="50" t="s">
        <v>65</v>
      </c>
      <c r="H33" s="48" t="s">
        <v>66</v>
      </c>
      <c r="I33" s="484"/>
      <c r="J33" s="474"/>
      <c r="K33" s="491"/>
      <c r="L33" s="491"/>
      <c r="M33" s="475"/>
      <c r="N33" s="258"/>
      <c r="O33" s="28"/>
      <c r="P33" s="28"/>
      <c r="Q33" s="28"/>
      <c r="R33" s="28"/>
    </row>
    <row r="34" spans="1:20" s="32" customFormat="1" ht="15" customHeight="1" thickTop="1">
      <c r="A34" s="480" t="s">
        <v>67</v>
      </c>
      <c r="B34" s="78" t="s">
        <v>34</v>
      </c>
      <c r="C34" s="175">
        <f>+C10</f>
        <v>4.7190000000000003</v>
      </c>
      <c r="D34" s="176">
        <f>+C62+D62+E62</f>
        <v>123.50399999999999</v>
      </c>
      <c r="E34" s="177">
        <f>+H34+G34-C34</f>
        <v>11.798200000000001</v>
      </c>
      <c r="F34" s="248">
        <f>+IF(E34=0,0,(D34/E34))</f>
        <v>10.468037497245341</v>
      </c>
      <c r="G34" s="178">
        <f>+C73+D73+E73</f>
        <v>15.737200000000001</v>
      </c>
      <c r="H34" s="141">
        <f>+E10</f>
        <v>0.78</v>
      </c>
      <c r="I34" s="193">
        <f>H34-C34</f>
        <v>-3.9390000000000001</v>
      </c>
      <c r="J34" s="492"/>
      <c r="K34" s="493"/>
      <c r="L34" s="493"/>
      <c r="M34" s="494"/>
      <c r="N34" s="256"/>
      <c r="O34" s="257"/>
      <c r="P34" s="257"/>
      <c r="Q34" s="257"/>
      <c r="R34" s="257"/>
    </row>
    <row r="35" spans="1:20" s="32" customFormat="1" ht="15" customHeight="1">
      <c r="A35" s="468"/>
      <c r="B35" s="52" t="s">
        <v>36</v>
      </c>
      <c r="C35" s="132">
        <f>SUM(C34:C34)</f>
        <v>4.7190000000000003</v>
      </c>
      <c r="D35" s="133">
        <f>SUM(D34:D34)</f>
        <v>123.50399999999999</v>
      </c>
      <c r="E35" s="123">
        <f t="shared" ref="E35:E40" si="18">+H35+G35-C35</f>
        <v>11.798200000000001</v>
      </c>
      <c r="F35" s="249">
        <f>+IF(E35=0,0,(D35/E35))</f>
        <v>10.468037497245341</v>
      </c>
      <c r="G35" s="133">
        <f>SUM(G34:G34)</f>
        <v>15.737200000000001</v>
      </c>
      <c r="H35" s="132">
        <f>SUM(H34:H34)</f>
        <v>0.78</v>
      </c>
      <c r="I35" s="121">
        <f>H35-C35</f>
        <v>-3.9390000000000001</v>
      </c>
      <c r="J35" s="492"/>
      <c r="K35" s="493"/>
      <c r="L35" s="493"/>
      <c r="M35" s="494"/>
      <c r="N35" s="256"/>
      <c r="O35" s="257"/>
      <c r="P35" s="257"/>
      <c r="Q35" s="257"/>
      <c r="R35" s="257"/>
    </row>
    <row r="36" spans="1:20" s="32" customFormat="1" ht="15" customHeight="1">
      <c r="A36" s="468"/>
      <c r="B36" s="78" t="s">
        <v>39</v>
      </c>
      <c r="C36" s="175">
        <f>+C12</f>
        <v>6.5519999999999996</v>
      </c>
      <c r="D36" s="176">
        <f>+H62+I62</f>
        <v>317.53399999999993</v>
      </c>
      <c r="E36" s="177">
        <f>+H36+G36-C36</f>
        <v>44.193000000000005</v>
      </c>
      <c r="F36" s="248">
        <f>+IF(E36=0,0,(D36/E36))</f>
        <v>7.1851650713913946</v>
      </c>
      <c r="G36" s="178">
        <f>+H73+I73</f>
        <v>43.361000000000004</v>
      </c>
      <c r="H36" s="141">
        <f>E12</f>
        <v>7.3840000000000003</v>
      </c>
      <c r="I36" s="120">
        <f t="shared" ref="I36:I42" si="19">H36-C36</f>
        <v>0.83200000000000074</v>
      </c>
      <c r="J36" s="492"/>
      <c r="K36" s="493"/>
      <c r="L36" s="493"/>
      <c r="M36" s="494"/>
      <c r="N36" s="256"/>
      <c r="O36" s="257"/>
      <c r="P36" s="257"/>
      <c r="Q36" s="257"/>
      <c r="R36" s="257"/>
    </row>
    <row r="37" spans="1:20" s="32" customFormat="1" ht="15" customHeight="1">
      <c r="A37" s="468"/>
      <c r="B37" s="52" t="s">
        <v>36</v>
      </c>
      <c r="C37" s="132">
        <f>SUM(C36:C36)</f>
        <v>6.5519999999999996</v>
      </c>
      <c r="D37" s="133">
        <f>SUM(D36:D36)</f>
        <v>317.53399999999993</v>
      </c>
      <c r="E37" s="123">
        <f t="shared" si="18"/>
        <v>44.193000000000005</v>
      </c>
      <c r="F37" s="249">
        <f>+IF(E37=0,0,(D37/E37))</f>
        <v>7.1851650713913946</v>
      </c>
      <c r="G37" s="133">
        <f>SUM(G36:G36)</f>
        <v>43.361000000000004</v>
      </c>
      <c r="H37" s="132">
        <f>SUM(H36:H36)</f>
        <v>7.3840000000000003</v>
      </c>
      <c r="I37" s="121">
        <f t="shared" si="19"/>
        <v>0.83200000000000074</v>
      </c>
      <c r="J37" s="492"/>
      <c r="K37" s="493"/>
      <c r="L37" s="493"/>
      <c r="M37" s="494"/>
      <c r="N37" s="256"/>
      <c r="O37" s="257"/>
      <c r="P37" s="257"/>
      <c r="Q37" s="257"/>
      <c r="R37" s="257"/>
    </row>
    <row r="38" spans="1:20" s="32" customFormat="1" ht="15" customHeight="1">
      <c r="A38" s="468"/>
      <c r="B38" s="38" t="s">
        <v>43</v>
      </c>
      <c r="C38" s="127">
        <f>+C14</f>
        <v>12.48</v>
      </c>
      <c r="D38" s="128">
        <f>+F62</f>
        <v>431.30099999999999</v>
      </c>
      <c r="E38" s="122">
        <f>+H38+G38-C38</f>
        <v>60.665899999999993</v>
      </c>
      <c r="F38" s="250">
        <f>+IF(E38=0,0,(D38/E38))</f>
        <v>7.1094469875168755</v>
      </c>
      <c r="G38" s="138">
        <f>F73</f>
        <v>67.841899999999995</v>
      </c>
      <c r="H38" s="134">
        <f>E14</f>
        <v>5.3040000000000003</v>
      </c>
      <c r="I38" s="119">
        <f>H38-C38</f>
        <v>-7.1760000000000002</v>
      </c>
      <c r="J38" s="492"/>
      <c r="K38" s="493"/>
      <c r="L38" s="493"/>
      <c r="M38" s="494"/>
      <c r="N38" s="256"/>
      <c r="O38" s="257"/>
      <c r="P38" s="257"/>
      <c r="Q38" s="257"/>
      <c r="R38" s="257"/>
    </row>
    <row r="39" spans="1:20" s="32" customFormat="1" ht="15" customHeight="1">
      <c r="A39" s="468"/>
      <c r="B39" s="328" t="s">
        <v>68</v>
      </c>
      <c r="C39" s="127">
        <f>+C15</f>
        <v>0</v>
      </c>
      <c r="D39" s="129">
        <f>+G62</f>
        <v>317.99599999999998</v>
      </c>
      <c r="E39" s="122">
        <f t="shared" si="18"/>
        <v>35.90890000000001</v>
      </c>
      <c r="F39" s="250">
        <f>+IF(E39&lt;=0,0,(D39/E39))</f>
        <v>8.8556318907011882</v>
      </c>
      <c r="G39" s="139">
        <f>G73</f>
        <v>35.90890000000001</v>
      </c>
      <c r="H39" s="134">
        <f>E15</f>
        <v>0</v>
      </c>
      <c r="I39" s="119">
        <f t="shared" si="19"/>
        <v>0</v>
      </c>
      <c r="J39" s="492"/>
      <c r="K39" s="493"/>
      <c r="L39" s="493"/>
      <c r="M39" s="494"/>
      <c r="N39" s="256"/>
      <c r="O39" s="257"/>
      <c r="P39" s="257"/>
      <c r="Q39" s="257"/>
      <c r="R39" s="257"/>
    </row>
    <row r="40" spans="1:20" s="32" customFormat="1" ht="15" customHeight="1">
      <c r="A40" s="468"/>
      <c r="B40" s="78" t="s">
        <v>47</v>
      </c>
      <c r="C40" s="130">
        <f>+C16</f>
        <v>3.64</v>
      </c>
      <c r="D40" s="131">
        <f>+M62</f>
        <v>264.54699999999997</v>
      </c>
      <c r="E40" s="122">
        <f t="shared" si="18"/>
        <v>17.098999999999997</v>
      </c>
      <c r="F40" s="250">
        <f>+IF(E40=0,0,(D40/E40))</f>
        <v>15.47148956079303</v>
      </c>
      <c r="G40" s="140">
        <f>+M73</f>
        <v>17.007999999999996</v>
      </c>
      <c r="H40" s="141">
        <f>+E16</f>
        <v>3.7309999999999999</v>
      </c>
      <c r="I40" s="120">
        <f t="shared" si="19"/>
        <v>9.0999999999999748E-2</v>
      </c>
      <c r="J40" s="492"/>
      <c r="K40" s="493"/>
      <c r="L40" s="493"/>
      <c r="M40" s="494"/>
      <c r="N40" s="256"/>
      <c r="O40" s="257"/>
      <c r="P40" s="257"/>
      <c r="Q40" s="257"/>
      <c r="R40" s="257"/>
    </row>
    <row r="41" spans="1:20" s="32" customFormat="1" ht="15" customHeight="1">
      <c r="A41" s="481"/>
      <c r="B41" s="52" t="s">
        <v>36</v>
      </c>
      <c r="C41" s="132">
        <f>SUM(C38:C40)</f>
        <v>16.12</v>
      </c>
      <c r="D41" s="133">
        <f>SUM(D38:D40)</f>
        <v>1013.8440000000001</v>
      </c>
      <c r="E41" s="123">
        <f t="shared" ref="E41" si="20">+H41+G41-C41</f>
        <v>113.6738</v>
      </c>
      <c r="F41" s="249">
        <f t="shared" ref="F41:F42" si="21">+IF(E41=0,0,(D41/E41))</f>
        <v>8.9188889612206168</v>
      </c>
      <c r="G41" s="133">
        <f>SUM(G38:G40)</f>
        <v>120.75879999999999</v>
      </c>
      <c r="H41" s="132">
        <f>SUM(H38:H40)</f>
        <v>9.0350000000000001</v>
      </c>
      <c r="I41" s="121">
        <f t="shared" si="19"/>
        <v>-7.0850000000000009</v>
      </c>
      <c r="J41" s="492"/>
      <c r="K41" s="493"/>
      <c r="L41" s="493"/>
      <c r="M41" s="494"/>
      <c r="N41" s="256"/>
      <c r="O41" s="257"/>
      <c r="P41" s="257"/>
      <c r="Q41" s="257"/>
      <c r="R41" s="257"/>
      <c r="T41" s="32" t="s">
        <v>69</v>
      </c>
    </row>
    <row r="42" spans="1:20" s="32" customFormat="1" ht="15" customHeight="1">
      <c r="A42" s="482" t="s">
        <v>70</v>
      </c>
      <c r="B42" s="284" t="s">
        <v>49</v>
      </c>
      <c r="C42" s="297">
        <f>+C19</f>
        <v>0</v>
      </c>
      <c r="D42" s="500">
        <f>+J62</f>
        <v>541.00799999999992</v>
      </c>
      <c r="E42" s="478">
        <f>(H42+H43)+G42-(C42+C43)</f>
        <v>109.0553</v>
      </c>
      <c r="F42" s="476">
        <f t="shared" si="21"/>
        <v>4.9608593071588443</v>
      </c>
      <c r="G42" s="498">
        <f>J73</f>
        <v>114.3203</v>
      </c>
      <c r="H42" s="297">
        <f>E19</f>
        <v>18.72</v>
      </c>
      <c r="I42" s="298">
        <f t="shared" si="19"/>
        <v>18.72</v>
      </c>
      <c r="J42" s="492"/>
      <c r="K42" s="493"/>
      <c r="L42" s="493"/>
      <c r="M42" s="494"/>
      <c r="N42" s="256"/>
      <c r="O42" s="257"/>
      <c r="P42" s="257"/>
      <c r="Q42" s="257"/>
      <c r="R42" s="257"/>
    </row>
    <row r="43" spans="1:20" s="32" customFormat="1" ht="15" customHeight="1">
      <c r="A43" s="482"/>
      <c r="B43" s="285" t="s">
        <v>71</v>
      </c>
      <c r="C43" s="134">
        <f>+C20</f>
        <v>38.61</v>
      </c>
      <c r="D43" s="501"/>
      <c r="E43" s="479"/>
      <c r="F43" s="477"/>
      <c r="G43" s="499"/>
      <c r="H43" s="134">
        <f>E20</f>
        <v>14.625</v>
      </c>
      <c r="I43" s="119">
        <f t="shared" ref="I43" si="22">H43-C43</f>
        <v>-23.984999999999999</v>
      </c>
      <c r="J43" s="492"/>
      <c r="K43" s="493"/>
      <c r="L43" s="493"/>
      <c r="M43" s="494"/>
      <c r="N43" s="256"/>
      <c r="O43" s="257"/>
      <c r="P43" s="257"/>
      <c r="Q43" s="257"/>
      <c r="R43" s="257"/>
    </row>
    <row r="44" spans="1:20" s="32" customFormat="1" ht="15" customHeight="1">
      <c r="A44" s="329" t="s">
        <v>67</v>
      </c>
      <c r="B44" s="285" t="s">
        <v>52</v>
      </c>
      <c r="C44" s="134">
        <f>+C21</f>
        <v>10.016500000000001</v>
      </c>
      <c r="D44" s="129">
        <f>+K62+L62</f>
        <v>199.60899999999998</v>
      </c>
      <c r="E44" s="124">
        <f>+H44+G44-C44</f>
        <v>41.571999999999996</v>
      </c>
      <c r="F44" s="250">
        <f t="shared" ref="F44:F47" si="23">+IF(E44=0,0,(D44/E44))</f>
        <v>4.8015250649475609</v>
      </c>
      <c r="G44" s="139">
        <f>+K73+L73</f>
        <v>44.524299999999997</v>
      </c>
      <c r="H44" s="134">
        <f>E21</f>
        <v>7.0641999999999996</v>
      </c>
      <c r="I44" s="119">
        <f>H44-C44</f>
        <v>-2.952300000000001</v>
      </c>
      <c r="J44" s="492"/>
      <c r="K44" s="493"/>
      <c r="L44" s="493"/>
      <c r="M44" s="494"/>
      <c r="N44" s="256"/>
      <c r="O44" s="257"/>
      <c r="P44" s="257"/>
      <c r="Q44" s="257"/>
      <c r="R44" s="257"/>
    </row>
    <row r="45" spans="1:20" s="32" customFormat="1" ht="15" customHeight="1">
      <c r="A45" s="329" t="s">
        <v>72</v>
      </c>
      <c r="B45" s="285" t="s">
        <v>53</v>
      </c>
      <c r="C45" s="127">
        <f>C23</f>
        <v>170.8811</v>
      </c>
      <c r="D45" s="129">
        <f>+N62+O62</f>
        <v>1527.1280000000002</v>
      </c>
      <c r="E45" s="124">
        <f>+H45+G45-C45</f>
        <v>180.76093599999996</v>
      </c>
      <c r="F45" s="250">
        <f>+IF(E45=0,0,(D45/E45))</f>
        <v>8.4483297873606968</v>
      </c>
      <c r="G45" s="139">
        <f>N73+O73</f>
        <v>293.71699999999998</v>
      </c>
      <c r="H45" s="134">
        <f>E23</f>
        <v>57.925035999999999</v>
      </c>
      <c r="I45" s="119">
        <f>H45-C45</f>
        <v>-112.956064</v>
      </c>
      <c r="J45" s="492"/>
      <c r="K45" s="493"/>
      <c r="L45" s="493"/>
      <c r="M45" s="494"/>
      <c r="N45" s="256"/>
      <c r="O45" s="257"/>
      <c r="P45" s="257"/>
      <c r="Q45" s="257"/>
      <c r="R45" s="257"/>
    </row>
    <row r="46" spans="1:20" s="32" customFormat="1" ht="15" customHeight="1">
      <c r="A46" s="330"/>
      <c r="B46" s="286" t="s">
        <v>36</v>
      </c>
      <c r="C46" s="132">
        <f>SUM(C42:C45)</f>
        <v>219.5076</v>
      </c>
      <c r="D46" s="135">
        <f>SUM(D42:D45)</f>
        <v>2267.7449999999999</v>
      </c>
      <c r="E46" s="125">
        <f>+H46+G46-C46</f>
        <v>331.38823600000001</v>
      </c>
      <c r="F46" s="249">
        <f>+IF(E46=0,0,(D46/E46))</f>
        <v>6.8431668769316234</v>
      </c>
      <c r="G46" s="133">
        <f>SUM(G42:G45)</f>
        <v>452.5616</v>
      </c>
      <c r="H46" s="132">
        <f>SUM(H42:H45)</f>
        <v>98.334236000000004</v>
      </c>
      <c r="I46" s="121">
        <f>H46-C46</f>
        <v>-121.17336399999999</v>
      </c>
      <c r="J46" s="492"/>
      <c r="K46" s="493"/>
      <c r="L46" s="493"/>
      <c r="M46" s="494"/>
      <c r="N46" s="256"/>
      <c r="O46" s="257"/>
      <c r="P46" s="257"/>
      <c r="Q46" s="257"/>
      <c r="R46" s="257"/>
    </row>
    <row r="47" spans="1:20" s="32" customFormat="1" ht="15" customHeight="1">
      <c r="A47" s="51" t="s">
        <v>54</v>
      </c>
      <c r="B47" s="269" t="s">
        <v>36</v>
      </c>
      <c r="C47" s="270">
        <f>C27</f>
        <v>2.5927200000000004</v>
      </c>
      <c r="D47" s="271">
        <f>+P62</f>
        <v>269.18599999999998</v>
      </c>
      <c r="E47" s="272">
        <f>+H47+G47-C47</f>
        <v>20.142900000000001</v>
      </c>
      <c r="F47" s="273">
        <f t="shared" si="23"/>
        <v>13.363815537981123</v>
      </c>
      <c r="G47" s="274">
        <f>P73</f>
        <v>19.464300000000001</v>
      </c>
      <c r="H47" s="270">
        <f>E27</f>
        <v>3.2713200000000002</v>
      </c>
      <c r="I47" s="275">
        <f>H47-C47</f>
        <v>0.67859999999999987</v>
      </c>
      <c r="J47" s="492"/>
      <c r="K47" s="493"/>
      <c r="L47" s="493"/>
      <c r="M47" s="494"/>
      <c r="N47" s="256"/>
      <c r="O47" s="257"/>
      <c r="P47" s="257"/>
      <c r="Q47" s="257"/>
      <c r="R47" s="257"/>
    </row>
    <row r="48" spans="1:20" s="43" customFormat="1" ht="15" customHeight="1">
      <c r="A48" s="506" t="s">
        <v>48</v>
      </c>
      <c r="B48" s="507"/>
      <c r="C48" s="136">
        <f>SUM(C35+C37+C41+C46+C47)</f>
        <v>249.49132</v>
      </c>
      <c r="D48" s="137">
        <f>SUM(D35+D37+D41+D46+D47)</f>
        <v>3991.8130000000001</v>
      </c>
      <c r="E48" s="126">
        <f>SUM(E35+E37+E41+E46+E47)</f>
        <v>521.19613600000002</v>
      </c>
      <c r="F48" s="251">
        <f>+IF(E48=0,0,(D48/E48))</f>
        <v>7.6589458828988706</v>
      </c>
      <c r="G48" s="142">
        <f>SUM(G35+G37+G41+G46+G47)</f>
        <v>651.88289999999995</v>
      </c>
      <c r="H48" s="136">
        <f>SUM(H35+H37+H41+H46+H47)</f>
        <v>118.80455600000001</v>
      </c>
      <c r="I48" s="331">
        <f>SUM(I35+I37+I41+I46+I47)</f>
        <v>-130.68676400000001</v>
      </c>
      <c r="J48" s="495"/>
      <c r="K48" s="496"/>
      <c r="L48" s="496"/>
      <c r="M48" s="497"/>
      <c r="N48" s="256"/>
      <c r="O48" s="257"/>
      <c r="P48" s="257"/>
      <c r="Q48" s="257"/>
      <c r="R48" s="257"/>
    </row>
    <row r="49" spans="1:18" ht="5.0999999999999996" customHeight="1">
      <c r="A49" s="332"/>
      <c r="N49" s="53"/>
    </row>
    <row r="50" spans="1:18" s="26" customFormat="1" ht="21.75" customHeight="1">
      <c r="A50" s="26" t="s">
        <v>73</v>
      </c>
      <c r="L50" s="54"/>
    </row>
    <row r="51" spans="1:18" ht="5.0999999999999996" customHeight="1">
      <c r="K51" s="55"/>
      <c r="N51" s="23"/>
    </row>
    <row r="52" spans="1:18" s="32" customFormat="1" ht="15" customHeight="1">
      <c r="A52" s="505">
        <f>+B61</f>
        <v>45080</v>
      </c>
      <c r="B52" s="505"/>
      <c r="C52" s="505"/>
      <c r="D52" s="505"/>
      <c r="E52" s="165"/>
      <c r="F52" s="165"/>
      <c r="G52" s="56"/>
      <c r="H52" s="56"/>
      <c r="I52" s="28"/>
      <c r="J52" s="28"/>
      <c r="K52" s="28"/>
      <c r="O52" s="30"/>
      <c r="P52" s="30"/>
      <c r="Q52" s="30"/>
      <c r="R52" s="30" t="s">
        <v>74</v>
      </c>
    </row>
    <row r="53" spans="1:18" s="59" customFormat="1" ht="15" customHeight="1">
      <c r="A53" s="483" t="s">
        <v>75</v>
      </c>
      <c r="B53" s="503" t="s">
        <v>76</v>
      </c>
      <c r="C53" s="463" t="s">
        <v>33</v>
      </c>
      <c r="D53" s="508"/>
      <c r="E53" s="464"/>
      <c r="F53" s="333" t="s">
        <v>77</v>
      </c>
      <c r="G53" s="328" t="s">
        <v>68</v>
      </c>
      <c r="H53" s="465" t="s">
        <v>38</v>
      </c>
      <c r="I53" s="466"/>
      <c r="J53" s="333" t="s">
        <v>78</v>
      </c>
      <c r="K53" s="463" t="s">
        <v>79</v>
      </c>
      <c r="L53" s="464"/>
      <c r="M53" s="333" t="s">
        <v>80</v>
      </c>
      <c r="N53" s="329" t="s">
        <v>81</v>
      </c>
      <c r="O53" s="329" t="s">
        <v>82</v>
      </c>
      <c r="P53" s="333" t="s">
        <v>54</v>
      </c>
      <c r="Q53" s="299" t="s">
        <v>48</v>
      </c>
      <c r="R53" s="459" t="s">
        <v>25</v>
      </c>
    </row>
    <row r="54" spans="1:18" s="59" customFormat="1" ht="15" customHeight="1" thickBot="1">
      <c r="A54" s="509"/>
      <c r="B54" s="504"/>
      <c r="C54" s="58"/>
      <c r="D54" s="237" t="s">
        <v>83</v>
      </c>
      <c r="E54" s="237"/>
      <c r="F54" s="461" t="s">
        <v>83</v>
      </c>
      <c r="G54" s="462"/>
      <c r="H54" s="58" t="s">
        <v>83</v>
      </c>
      <c r="I54" s="57"/>
      <c r="J54" s="57" t="s">
        <v>70</v>
      </c>
      <c r="K54" s="57"/>
      <c r="L54" s="57" t="s">
        <v>83</v>
      </c>
      <c r="M54" s="57" t="s">
        <v>83</v>
      </c>
      <c r="N54" s="238" t="s">
        <v>72</v>
      </c>
      <c r="O54" s="238" t="s">
        <v>85</v>
      </c>
      <c r="P54" s="57" t="s">
        <v>86</v>
      </c>
      <c r="Q54" s="236"/>
      <c r="R54" s="460"/>
    </row>
    <row r="55" spans="1:18" s="59" customFormat="1" ht="15" customHeight="1" thickTop="1">
      <c r="A55" s="509"/>
      <c r="B55" s="60">
        <f>+C8+1</f>
        <v>45074</v>
      </c>
      <c r="C55" s="334"/>
      <c r="D55" s="334">
        <v>23.262</v>
      </c>
      <c r="E55" s="334"/>
      <c r="F55" s="334">
        <v>69.516000000000005</v>
      </c>
      <c r="G55" s="334">
        <v>51.390999999999998</v>
      </c>
      <c r="H55" s="334">
        <v>52.091999999999999</v>
      </c>
      <c r="I55" s="334"/>
      <c r="J55" s="334">
        <v>89.234999999999999</v>
      </c>
      <c r="K55" s="334"/>
      <c r="L55" s="334">
        <v>32.033999999999999</v>
      </c>
      <c r="M55" s="334">
        <v>37.999000000000002</v>
      </c>
      <c r="N55" s="334">
        <v>220.995</v>
      </c>
      <c r="O55" s="334">
        <v>10.989000000000001</v>
      </c>
      <c r="P55" s="334">
        <v>38.148000000000003</v>
      </c>
      <c r="Q55" s="96">
        <f>SUM(C55:P55)</f>
        <v>625.66100000000017</v>
      </c>
      <c r="R55" s="239"/>
    </row>
    <row r="56" spans="1:18" s="59" customFormat="1" ht="15" customHeight="1">
      <c r="A56" s="509"/>
      <c r="B56" s="60">
        <f t="shared" ref="B56:B61" si="24">+B55+1</f>
        <v>45075</v>
      </c>
      <c r="C56" s="334"/>
      <c r="D56" s="334">
        <v>9.5679999999999996</v>
      </c>
      <c r="E56" s="334"/>
      <c r="F56" s="334">
        <v>50.801000000000002</v>
      </c>
      <c r="G56" s="334">
        <v>22.076000000000001</v>
      </c>
      <c r="H56" s="334">
        <v>31.015000000000001</v>
      </c>
      <c r="I56" s="334"/>
      <c r="J56" s="334">
        <v>32.210999999999999</v>
      </c>
      <c r="K56" s="334"/>
      <c r="L56" s="334">
        <v>12.69</v>
      </c>
      <c r="M56" s="334">
        <v>31.806999999999999</v>
      </c>
      <c r="N56" s="334">
        <v>160.09399999999999</v>
      </c>
      <c r="O56" s="334">
        <v>12.144</v>
      </c>
      <c r="P56" s="334">
        <v>28.038</v>
      </c>
      <c r="Q56" s="96">
        <f t="shared" ref="Q56:Q61" si="25">SUM(C56:P56)</f>
        <v>390.44399999999996</v>
      </c>
      <c r="R56" s="335"/>
    </row>
    <row r="57" spans="1:18" s="59" customFormat="1" ht="15" customHeight="1">
      <c r="A57" s="509"/>
      <c r="B57" s="60">
        <f t="shared" si="24"/>
        <v>45076</v>
      </c>
      <c r="C57" s="334"/>
      <c r="D57" s="334">
        <v>17.541</v>
      </c>
      <c r="E57" s="334"/>
      <c r="F57" s="334">
        <v>59.808</v>
      </c>
      <c r="G57" s="334">
        <v>38.762</v>
      </c>
      <c r="H57" s="334">
        <v>42.927</v>
      </c>
      <c r="I57" s="334"/>
      <c r="J57" s="334">
        <v>72.694999999999993</v>
      </c>
      <c r="K57" s="334"/>
      <c r="L57" s="334">
        <v>24.483000000000001</v>
      </c>
      <c r="M57" s="334">
        <v>39.682000000000002</v>
      </c>
      <c r="N57" s="334">
        <v>200.52799999999999</v>
      </c>
      <c r="O57" s="334">
        <v>12.1</v>
      </c>
      <c r="P57" s="334">
        <v>70.832999999999998</v>
      </c>
      <c r="Q57" s="96">
        <f t="shared" si="25"/>
        <v>579.35900000000004</v>
      </c>
      <c r="R57" s="336"/>
    </row>
    <row r="58" spans="1:18" s="59" customFormat="1" ht="15" customHeight="1">
      <c r="A58" s="509"/>
      <c r="B58" s="60">
        <f t="shared" si="24"/>
        <v>45077</v>
      </c>
      <c r="C58" s="334"/>
      <c r="D58" s="334">
        <v>23.262</v>
      </c>
      <c r="E58" s="334"/>
      <c r="F58" s="334">
        <v>69.516000000000005</v>
      </c>
      <c r="G58" s="334">
        <v>51.390999999999998</v>
      </c>
      <c r="H58" s="334">
        <v>52.091999999999999</v>
      </c>
      <c r="I58" s="334"/>
      <c r="J58" s="334">
        <v>89.234999999999999</v>
      </c>
      <c r="K58" s="334"/>
      <c r="L58" s="334">
        <v>32.033999999999999</v>
      </c>
      <c r="M58" s="334">
        <v>37.999000000000002</v>
      </c>
      <c r="N58" s="334">
        <v>220.995</v>
      </c>
      <c r="O58" s="334">
        <v>10.989000000000001</v>
      </c>
      <c r="P58" s="334">
        <v>38.148000000000003</v>
      </c>
      <c r="Q58" s="96">
        <f t="shared" si="25"/>
        <v>625.66100000000017</v>
      </c>
      <c r="R58" s="335"/>
    </row>
    <row r="59" spans="1:18" s="59" customFormat="1" ht="15" customHeight="1">
      <c r="A59" s="509"/>
      <c r="B59" s="60">
        <f t="shared" si="24"/>
        <v>45078</v>
      </c>
      <c r="C59" s="334"/>
      <c r="D59" s="334">
        <v>16.643000000000001</v>
      </c>
      <c r="E59" s="334"/>
      <c r="F59" s="334">
        <v>53.048999999999999</v>
      </c>
      <c r="G59" s="334">
        <v>46.758000000000003</v>
      </c>
      <c r="H59" s="334">
        <v>47.624000000000002</v>
      </c>
      <c r="I59" s="334"/>
      <c r="J59" s="334">
        <v>90.295000000000002</v>
      </c>
      <c r="K59" s="334"/>
      <c r="L59" s="334">
        <v>30.478999999999999</v>
      </c>
      <c r="M59" s="334">
        <v>37.302</v>
      </c>
      <c r="N59" s="334">
        <v>214.96600000000001</v>
      </c>
      <c r="O59" s="334">
        <v>12.551</v>
      </c>
      <c r="P59" s="334">
        <v>30.792000000000002</v>
      </c>
      <c r="Q59" s="96">
        <f t="shared" si="25"/>
        <v>580.45900000000006</v>
      </c>
      <c r="R59" s="335"/>
    </row>
    <row r="60" spans="1:18" s="59" customFormat="1" ht="15" customHeight="1">
      <c r="A60" s="509"/>
      <c r="B60" s="60">
        <f t="shared" si="24"/>
        <v>45079</v>
      </c>
      <c r="C60" s="334"/>
      <c r="D60" s="334">
        <v>16.408000000000001</v>
      </c>
      <c r="E60" s="334"/>
      <c r="F60" s="334">
        <v>53.613999999999997</v>
      </c>
      <c r="G60" s="334">
        <v>55.295000000000002</v>
      </c>
      <c r="H60" s="334">
        <v>48.252000000000002</v>
      </c>
      <c r="I60" s="334"/>
      <c r="J60" s="334">
        <v>86.412000000000006</v>
      </c>
      <c r="K60" s="334"/>
      <c r="L60" s="334">
        <v>34.246000000000002</v>
      </c>
      <c r="M60" s="334">
        <v>38.515000000000001</v>
      </c>
      <c r="N60" s="334">
        <v>205.27699999999999</v>
      </c>
      <c r="O60" s="334">
        <v>14.63</v>
      </c>
      <c r="P60" s="334">
        <v>30.605</v>
      </c>
      <c r="Q60" s="96">
        <f t="shared" si="25"/>
        <v>583.25400000000002</v>
      </c>
      <c r="R60" s="335"/>
    </row>
    <row r="61" spans="1:18" s="59" customFormat="1" ht="15" customHeight="1" thickBot="1">
      <c r="A61" s="509"/>
      <c r="B61" s="60">
        <f t="shared" si="24"/>
        <v>45080</v>
      </c>
      <c r="C61" s="334"/>
      <c r="D61" s="334">
        <v>16.82</v>
      </c>
      <c r="E61" s="334"/>
      <c r="F61" s="334">
        <v>74.997</v>
      </c>
      <c r="G61" s="334">
        <v>52.323</v>
      </c>
      <c r="H61" s="334">
        <v>43.531999999999996</v>
      </c>
      <c r="I61" s="334"/>
      <c r="J61" s="334">
        <v>80.924999999999997</v>
      </c>
      <c r="K61" s="334"/>
      <c r="L61" s="334">
        <v>33.643000000000001</v>
      </c>
      <c r="M61" s="334">
        <v>41.243000000000002</v>
      </c>
      <c r="N61" s="334">
        <v>215.84399999999999</v>
      </c>
      <c r="O61" s="334">
        <v>15.026</v>
      </c>
      <c r="P61" s="334">
        <v>32.622</v>
      </c>
      <c r="Q61" s="96">
        <f t="shared" si="25"/>
        <v>606.97499999999991</v>
      </c>
      <c r="R61" s="240"/>
    </row>
    <row r="62" spans="1:18" s="59" customFormat="1" ht="15" customHeight="1" thickTop="1">
      <c r="A62" s="510"/>
      <c r="B62" s="61" t="s">
        <v>48</v>
      </c>
      <c r="C62" s="241">
        <f>SUM(C55:C61)</f>
        <v>0</v>
      </c>
      <c r="D62" s="241">
        <f t="shared" ref="D62:N62" si="26">SUM(D55:D61)</f>
        <v>123.50399999999999</v>
      </c>
      <c r="E62" s="241">
        <f t="shared" si="26"/>
        <v>0</v>
      </c>
      <c r="F62" s="241">
        <f t="shared" si="26"/>
        <v>431.30099999999999</v>
      </c>
      <c r="G62" s="241">
        <f t="shared" si="26"/>
        <v>317.99599999999998</v>
      </c>
      <c r="H62" s="241">
        <f t="shared" si="26"/>
        <v>317.53399999999993</v>
      </c>
      <c r="I62" s="241">
        <f t="shared" si="26"/>
        <v>0</v>
      </c>
      <c r="J62" s="241">
        <f t="shared" si="26"/>
        <v>541.00799999999992</v>
      </c>
      <c r="K62" s="241">
        <f t="shared" si="26"/>
        <v>0</v>
      </c>
      <c r="L62" s="241">
        <f t="shared" si="26"/>
        <v>199.60899999999998</v>
      </c>
      <c r="M62" s="241">
        <f t="shared" si="26"/>
        <v>264.54699999999997</v>
      </c>
      <c r="N62" s="241">
        <f t="shared" si="26"/>
        <v>1438.6990000000001</v>
      </c>
      <c r="O62" s="241">
        <f t="shared" ref="O62" si="27">SUM(O55:O61)</f>
        <v>88.429000000000002</v>
      </c>
      <c r="P62" s="241">
        <f t="shared" ref="P62" si="28">SUM(P55:P61)</f>
        <v>269.18599999999998</v>
      </c>
      <c r="Q62" s="241">
        <f t="shared" ref="Q62" si="29">SUM(Q55:Q61)</f>
        <v>3991.8130000000006</v>
      </c>
      <c r="R62" s="239"/>
    </row>
    <row r="63" spans="1:18" s="59" customFormat="1" ht="9.9499999999999993" customHeight="1">
      <c r="A63" s="28"/>
      <c r="B63" s="28"/>
      <c r="C63" s="28"/>
      <c r="D63" s="28"/>
      <c r="E63" s="28"/>
      <c r="F63" s="28"/>
      <c r="G63" s="28"/>
      <c r="H63" s="28"/>
      <c r="I63" s="62"/>
      <c r="J63" s="62"/>
      <c r="K63" s="62"/>
      <c r="L63" s="62"/>
      <c r="M63" s="28"/>
      <c r="O63" s="242"/>
      <c r="P63" s="242"/>
      <c r="Q63" s="242"/>
      <c r="R63" s="243"/>
    </row>
    <row r="64" spans="1:18" s="59" customFormat="1" ht="15" customHeight="1">
      <c r="A64" s="483" t="s">
        <v>87</v>
      </c>
      <c r="B64" s="503" t="s">
        <v>76</v>
      </c>
      <c r="C64" s="463" t="s">
        <v>33</v>
      </c>
      <c r="D64" s="508"/>
      <c r="E64" s="464"/>
      <c r="F64" s="333" t="s">
        <v>77</v>
      </c>
      <c r="G64" s="328" t="s">
        <v>68</v>
      </c>
      <c r="H64" s="465" t="s">
        <v>38</v>
      </c>
      <c r="I64" s="466"/>
      <c r="J64" s="333" t="s">
        <v>78</v>
      </c>
      <c r="K64" s="463" t="s">
        <v>79</v>
      </c>
      <c r="L64" s="464"/>
      <c r="M64" s="333" t="s">
        <v>80</v>
      </c>
      <c r="N64" s="329" t="s">
        <v>81</v>
      </c>
      <c r="O64" s="329" t="s">
        <v>82</v>
      </c>
      <c r="P64" s="333" t="s">
        <v>54</v>
      </c>
      <c r="Q64" s="299" t="s">
        <v>48</v>
      </c>
      <c r="R64" s="459" t="s">
        <v>25</v>
      </c>
    </row>
    <row r="65" spans="1:18" s="59" customFormat="1" ht="15" customHeight="1" thickBot="1">
      <c r="A65" s="509"/>
      <c r="B65" s="504"/>
      <c r="C65" s="58"/>
      <c r="D65" s="237" t="s">
        <v>83</v>
      </c>
      <c r="E65" s="237"/>
      <c r="F65" s="461" t="s">
        <v>83</v>
      </c>
      <c r="G65" s="462"/>
      <c r="H65" s="58" t="s">
        <v>83</v>
      </c>
      <c r="I65" s="57"/>
      <c r="J65" s="57" t="s">
        <v>70</v>
      </c>
      <c r="K65" s="57"/>
      <c r="L65" s="57" t="s">
        <v>83</v>
      </c>
      <c r="M65" s="57" t="s">
        <v>83</v>
      </c>
      <c r="N65" s="238" t="s">
        <v>72</v>
      </c>
      <c r="O65" s="238" t="s">
        <v>85</v>
      </c>
      <c r="P65" s="57" t="s">
        <v>86</v>
      </c>
      <c r="Q65" s="236"/>
      <c r="R65" s="460"/>
    </row>
    <row r="66" spans="1:18" s="59" customFormat="1" ht="15" customHeight="1" thickTop="1">
      <c r="A66" s="509"/>
      <c r="B66" s="63">
        <f t="shared" ref="B66:B72" si="30">B55</f>
        <v>45074</v>
      </c>
      <c r="C66" s="334"/>
      <c r="D66" s="334">
        <v>4.0248999999999997</v>
      </c>
      <c r="E66" s="334"/>
      <c r="F66" s="334">
        <v>7.2160000000000002</v>
      </c>
      <c r="G66" s="334">
        <v>6.5356999999999994</v>
      </c>
      <c r="H66" s="334">
        <v>6.8322999999999992</v>
      </c>
      <c r="I66" s="334"/>
      <c r="J66" s="334">
        <v>19.026700000000002</v>
      </c>
      <c r="K66" s="334"/>
      <c r="L66" s="334">
        <v>7.9270999999999994</v>
      </c>
      <c r="M66" s="334">
        <v>3.2146999999999997</v>
      </c>
      <c r="N66" s="334">
        <v>41.981300000000005</v>
      </c>
      <c r="O66" s="334"/>
      <c r="P66" s="334">
        <v>2.4512000000000005</v>
      </c>
      <c r="Q66" s="96">
        <f>SUM(C66:P66)</f>
        <v>99.209900000000005</v>
      </c>
      <c r="R66" s="239"/>
    </row>
    <row r="67" spans="1:18" s="59" customFormat="1" ht="15" customHeight="1">
      <c r="A67" s="509"/>
      <c r="B67" s="60">
        <f t="shared" si="30"/>
        <v>45075</v>
      </c>
      <c r="C67" s="334"/>
      <c r="D67" s="334">
        <v>2.2075999999999998</v>
      </c>
      <c r="E67" s="334"/>
      <c r="F67" s="334">
        <v>10.387700000000001</v>
      </c>
      <c r="G67" s="334">
        <v>2.0754000000000001</v>
      </c>
      <c r="H67" s="334">
        <v>2.2814999999999999</v>
      </c>
      <c r="I67" s="334"/>
      <c r="J67" s="334">
        <v>2.4614000000000003</v>
      </c>
      <c r="K67" s="334"/>
      <c r="L67" s="334">
        <v>2.972</v>
      </c>
      <c r="M67" s="334">
        <v>1.7786000000000002</v>
      </c>
      <c r="N67" s="334">
        <v>29.416</v>
      </c>
      <c r="O67" s="334"/>
      <c r="P67" s="334">
        <v>4.5248999999999997</v>
      </c>
      <c r="Q67" s="96">
        <f t="shared" ref="Q67:Q72" si="31">SUM(C67:P67)</f>
        <v>58.105100000000007</v>
      </c>
      <c r="R67" s="335"/>
    </row>
    <row r="68" spans="1:18" s="59" customFormat="1" ht="15" customHeight="1">
      <c r="A68" s="509"/>
      <c r="B68" s="60">
        <f t="shared" si="30"/>
        <v>45076</v>
      </c>
      <c r="C68" s="334"/>
      <c r="D68" s="334">
        <v>3.125</v>
      </c>
      <c r="E68" s="334"/>
      <c r="F68" s="334">
        <v>7.3788</v>
      </c>
      <c r="G68" s="334">
        <v>4.5525000000000047</v>
      </c>
      <c r="H68" s="334">
        <v>4.3541000000000007</v>
      </c>
      <c r="I68" s="334"/>
      <c r="J68" s="334">
        <v>13.937299999999999</v>
      </c>
      <c r="K68" s="334"/>
      <c r="L68" s="334">
        <v>4.4115999999999991</v>
      </c>
      <c r="M68" s="334">
        <v>1.6816</v>
      </c>
      <c r="N68" s="334">
        <v>45.678399999999996</v>
      </c>
      <c r="O68" s="334"/>
      <c r="P68" s="334">
        <v>3.0094000000000003</v>
      </c>
      <c r="Q68" s="96">
        <f t="shared" si="31"/>
        <v>88.128700000000009</v>
      </c>
      <c r="R68" s="336"/>
    </row>
    <row r="69" spans="1:18" s="59" customFormat="1" ht="15" customHeight="1">
      <c r="A69" s="509"/>
      <c r="B69" s="60">
        <f t="shared" si="30"/>
        <v>45077</v>
      </c>
      <c r="C69" s="334"/>
      <c r="D69" s="334">
        <v>4.0248999999999997</v>
      </c>
      <c r="E69" s="334"/>
      <c r="F69" s="334">
        <v>7.2160000000000002</v>
      </c>
      <c r="G69" s="334">
        <v>6.5356999999999994</v>
      </c>
      <c r="H69" s="334">
        <v>6.8322999999999992</v>
      </c>
      <c r="I69" s="334"/>
      <c r="J69" s="334">
        <v>19.026700000000002</v>
      </c>
      <c r="K69" s="334"/>
      <c r="L69" s="334">
        <v>7.9270999999999994</v>
      </c>
      <c r="M69" s="334">
        <v>3.2146999999999997</v>
      </c>
      <c r="N69" s="334">
        <v>41.981300000000005</v>
      </c>
      <c r="O69" s="334"/>
      <c r="P69" s="334">
        <v>2.4512000000000005</v>
      </c>
      <c r="Q69" s="96">
        <f t="shared" si="31"/>
        <v>99.209900000000005</v>
      </c>
      <c r="R69" s="335"/>
    </row>
    <row r="70" spans="1:18" s="59" customFormat="1" ht="15" customHeight="1">
      <c r="A70" s="509"/>
      <c r="B70" s="60">
        <f t="shared" si="30"/>
        <v>45078</v>
      </c>
      <c r="C70" s="334"/>
      <c r="D70" s="334">
        <v>1.0843</v>
      </c>
      <c r="E70" s="334"/>
      <c r="F70" s="334">
        <v>10.5228</v>
      </c>
      <c r="G70" s="334">
        <v>6.1417999999999999</v>
      </c>
      <c r="H70" s="334">
        <v>7.1173999999999999</v>
      </c>
      <c r="I70" s="334"/>
      <c r="J70" s="334">
        <v>20.917999999999999</v>
      </c>
      <c r="K70" s="334"/>
      <c r="L70" s="334">
        <v>6.6319999999999997</v>
      </c>
      <c r="M70" s="334">
        <v>2.7138</v>
      </c>
      <c r="N70" s="334">
        <v>41.170999999999999</v>
      </c>
      <c r="O70" s="334"/>
      <c r="P70" s="334">
        <v>2.302</v>
      </c>
      <c r="Q70" s="96">
        <f t="shared" si="31"/>
        <v>98.603099999999998</v>
      </c>
      <c r="R70" s="335"/>
    </row>
    <row r="71" spans="1:18" s="59" customFormat="1" ht="15" customHeight="1">
      <c r="A71" s="509"/>
      <c r="B71" s="60">
        <f t="shared" si="30"/>
        <v>45079</v>
      </c>
      <c r="C71" s="334"/>
      <c r="D71" s="334">
        <v>1.2705</v>
      </c>
      <c r="E71" s="334"/>
      <c r="F71" s="334">
        <v>12.3108</v>
      </c>
      <c r="G71" s="334">
        <v>3.6041999999999996</v>
      </c>
      <c r="H71" s="334">
        <v>7.984</v>
      </c>
      <c r="I71" s="334"/>
      <c r="J71" s="334">
        <v>20.087299999999999</v>
      </c>
      <c r="K71" s="334"/>
      <c r="L71" s="334">
        <v>6.7701000000000002</v>
      </c>
      <c r="M71" s="334">
        <v>2.7591000000000001</v>
      </c>
      <c r="N71" s="334">
        <v>43.31</v>
      </c>
      <c r="O71" s="334"/>
      <c r="P71" s="334">
        <v>2.2862</v>
      </c>
      <c r="Q71" s="96">
        <f t="shared" si="31"/>
        <v>100.3822</v>
      </c>
      <c r="R71" s="335"/>
    </row>
    <row r="72" spans="1:18" s="59" customFormat="1" ht="15" customHeight="1" thickBot="1">
      <c r="A72" s="509"/>
      <c r="B72" s="60">
        <f t="shared" si="30"/>
        <v>45080</v>
      </c>
      <c r="C72" s="334"/>
      <c r="D72" s="334">
        <v>0</v>
      </c>
      <c r="E72" s="334"/>
      <c r="F72" s="334">
        <v>12.809800000000001</v>
      </c>
      <c r="G72" s="334">
        <v>6.463600000000004</v>
      </c>
      <c r="H72" s="334">
        <v>7.9593999999999996</v>
      </c>
      <c r="I72" s="334"/>
      <c r="J72" s="334">
        <v>18.862899999999996</v>
      </c>
      <c r="K72" s="334"/>
      <c r="L72" s="334">
        <v>7.8843999999999994</v>
      </c>
      <c r="M72" s="334">
        <v>1.6455</v>
      </c>
      <c r="N72" s="334">
        <v>50.179000000000002</v>
      </c>
      <c r="O72" s="334"/>
      <c r="P72" s="334">
        <v>2.4394</v>
      </c>
      <c r="Q72" s="96">
        <f t="shared" si="31"/>
        <v>108.244</v>
      </c>
      <c r="R72" s="240"/>
    </row>
    <row r="73" spans="1:18" s="59" customFormat="1" ht="15" customHeight="1" thickTop="1">
      <c r="A73" s="510"/>
      <c r="B73" s="61" t="s">
        <v>48</v>
      </c>
      <c r="C73" s="241">
        <f>SUM(C66:C72)</f>
        <v>0</v>
      </c>
      <c r="D73" s="241">
        <f t="shared" ref="D73:O73" si="32">SUM(D66:D72)</f>
        <v>15.737200000000001</v>
      </c>
      <c r="E73" s="241">
        <f t="shared" si="32"/>
        <v>0</v>
      </c>
      <c r="F73" s="241">
        <f t="shared" si="32"/>
        <v>67.841899999999995</v>
      </c>
      <c r="G73" s="241">
        <f t="shared" si="32"/>
        <v>35.90890000000001</v>
      </c>
      <c r="H73" s="241">
        <f t="shared" si="32"/>
        <v>43.361000000000004</v>
      </c>
      <c r="I73" s="241">
        <f t="shared" si="32"/>
        <v>0</v>
      </c>
      <c r="J73" s="241">
        <f t="shared" si="32"/>
        <v>114.3203</v>
      </c>
      <c r="K73" s="241">
        <f t="shared" si="32"/>
        <v>0</v>
      </c>
      <c r="L73" s="241">
        <f t="shared" si="32"/>
        <v>44.524299999999997</v>
      </c>
      <c r="M73" s="241">
        <f t="shared" si="32"/>
        <v>17.007999999999996</v>
      </c>
      <c r="N73" s="241">
        <f t="shared" si="32"/>
        <v>293.71699999999998</v>
      </c>
      <c r="O73" s="241">
        <f t="shared" si="32"/>
        <v>0</v>
      </c>
      <c r="P73" s="241">
        <f>SUM(P66:P72)</f>
        <v>19.464300000000001</v>
      </c>
      <c r="Q73" s="241">
        <f>SUM(Q66:Q72)</f>
        <v>651.88289999999995</v>
      </c>
      <c r="R73" s="239"/>
    </row>
    <row r="74" spans="1:18" s="59" customFormat="1" ht="9.9499999999999993" customHeight="1">
      <c r="A74" s="28"/>
      <c r="B74" s="28"/>
      <c r="C74" s="28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28"/>
      <c r="O74" s="242"/>
      <c r="P74" s="242"/>
      <c r="Q74" s="242"/>
      <c r="R74" s="243"/>
    </row>
    <row r="75" spans="1:18" ht="15" customHeight="1">
      <c r="A75" s="502" t="s">
        <v>88</v>
      </c>
      <c r="B75" s="503" t="s">
        <v>76</v>
      </c>
      <c r="C75" s="463" t="s">
        <v>33</v>
      </c>
      <c r="D75" s="508"/>
      <c r="E75" s="464"/>
      <c r="F75" s="333" t="s">
        <v>89</v>
      </c>
      <c r="G75" s="328" t="s">
        <v>68</v>
      </c>
      <c r="H75" s="465" t="s">
        <v>38</v>
      </c>
      <c r="I75" s="466"/>
      <c r="J75" s="333" t="s">
        <v>78</v>
      </c>
      <c r="K75" s="463" t="s">
        <v>79</v>
      </c>
      <c r="L75" s="464"/>
      <c r="M75" s="333" t="s">
        <v>80</v>
      </c>
      <c r="N75" s="329" t="s">
        <v>81</v>
      </c>
      <c r="O75" s="329" t="s">
        <v>82</v>
      </c>
      <c r="P75" s="333" t="s">
        <v>54</v>
      </c>
      <c r="Q75" s="299" t="s">
        <v>48</v>
      </c>
      <c r="R75" s="459" t="s">
        <v>25</v>
      </c>
    </row>
    <row r="76" spans="1:18" ht="15" customHeight="1" thickBot="1">
      <c r="A76" s="502"/>
      <c r="B76" s="504"/>
      <c r="C76" s="58" t="s">
        <v>72</v>
      </c>
      <c r="D76" s="237" t="s">
        <v>83</v>
      </c>
      <c r="E76" s="237" t="s">
        <v>84</v>
      </c>
      <c r="F76" s="461" t="s">
        <v>83</v>
      </c>
      <c r="G76" s="462"/>
      <c r="H76" s="58" t="s">
        <v>83</v>
      </c>
      <c r="I76" s="57" t="s">
        <v>72</v>
      </c>
      <c r="J76" s="57" t="s">
        <v>70</v>
      </c>
      <c r="K76" s="57" t="s">
        <v>84</v>
      </c>
      <c r="L76" s="57" t="s">
        <v>72</v>
      </c>
      <c r="M76" s="57" t="s">
        <v>83</v>
      </c>
      <c r="N76" s="238" t="s">
        <v>72</v>
      </c>
      <c r="O76" s="238" t="s">
        <v>85</v>
      </c>
      <c r="P76" s="57" t="s">
        <v>86</v>
      </c>
      <c r="Q76" s="236"/>
      <c r="R76" s="460"/>
    </row>
    <row r="77" spans="1:18" ht="15" customHeight="1" thickTop="1">
      <c r="A77" s="502"/>
      <c r="B77" s="60">
        <f t="shared" ref="B77:B82" si="33">B66</f>
        <v>45074</v>
      </c>
      <c r="C77" s="244">
        <f t="shared" ref="C77:H77" si="34">IF(C66=0,0,(C55/C66))</f>
        <v>0</v>
      </c>
      <c r="D77" s="244">
        <f t="shared" si="34"/>
        <v>5.7795224726080159</v>
      </c>
      <c r="E77" s="244">
        <f t="shared" si="34"/>
        <v>0</v>
      </c>
      <c r="F77" s="244">
        <f t="shared" si="34"/>
        <v>9.6335920177383603</v>
      </c>
      <c r="G77" s="244">
        <f t="shared" si="34"/>
        <v>7.8631210122863662</v>
      </c>
      <c r="H77" s="244">
        <f t="shared" si="34"/>
        <v>7.6243724660802377</v>
      </c>
      <c r="I77" s="244">
        <f t="shared" ref="H77:M83" si="35">IF(I66=0,0,(I55/I66))</f>
        <v>0</v>
      </c>
      <c r="J77" s="244">
        <f t="shared" si="35"/>
        <v>4.6899882796281007</v>
      </c>
      <c r="K77" s="244">
        <f t="shared" si="35"/>
        <v>0</v>
      </c>
      <c r="L77" s="244">
        <f t="shared" si="35"/>
        <v>4.0410742894627294</v>
      </c>
      <c r="M77" s="244">
        <f t="shared" si="35"/>
        <v>11.820387594487823</v>
      </c>
      <c r="N77" s="244">
        <f t="shared" ref="N77:O77" si="36">IF(N66=0,0,(N55/N66))</f>
        <v>5.2641295052797314</v>
      </c>
      <c r="O77" s="244">
        <f t="shared" si="36"/>
        <v>0</v>
      </c>
      <c r="P77" s="244">
        <f>IF(P66=0,0,(P55/P66))</f>
        <v>15.562989556135769</v>
      </c>
      <c r="Q77" s="97">
        <f>IF(Q66=0,0,(Q55/Q66))</f>
        <v>6.3064371600011704</v>
      </c>
      <c r="R77" s="239"/>
    </row>
    <row r="78" spans="1:18" ht="15" customHeight="1">
      <c r="A78" s="502"/>
      <c r="B78" s="337">
        <f t="shared" si="33"/>
        <v>45075</v>
      </c>
      <c r="C78" s="338">
        <f t="shared" ref="C78:G83" si="37">IF(C67=0,0,(C56/C67))</f>
        <v>0</v>
      </c>
      <c r="D78" s="338">
        <f t="shared" si="37"/>
        <v>4.3341184997282118</v>
      </c>
      <c r="E78" s="338">
        <f t="shared" si="37"/>
        <v>0</v>
      </c>
      <c r="F78" s="244">
        <f t="shared" si="37"/>
        <v>4.8904954898581972</v>
      </c>
      <c r="G78" s="244">
        <f t="shared" si="37"/>
        <v>10.636985641322154</v>
      </c>
      <c r="H78" s="338">
        <f t="shared" si="35"/>
        <v>13.594126671049748</v>
      </c>
      <c r="I78" s="338">
        <f t="shared" si="35"/>
        <v>0</v>
      </c>
      <c r="J78" s="338">
        <f t="shared" si="35"/>
        <v>13.086454863086047</v>
      </c>
      <c r="K78" s="244">
        <f t="shared" si="35"/>
        <v>0</v>
      </c>
      <c r="L78" s="338">
        <f t="shared" si="35"/>
        <v>4.2698519515477793</v>
      </c>
      <c r="M78" s="338">
        <f t="shared" si="35"/>
        <v>17.88316653547734</v>
      </c>
      <c r="N78" s="338">
        <f t="shared" ref="N78:Q83" si="38">IF(N67=0,0,(N56/N67))</f>
        <v>5.4424122926298608</v>
      </c>
      <c r="O78" s="338">
        <f t="shared" si="38"/>
        <v>0</v>
      </c>
      <c r="P78" s="338">
        <f t="shared" si="38"/>
        <v>6.1963800304979122</v>
      </c>
      <c r="Q78" s="97">
        <f t="shared" si="38"/>
        <v>6.719616694575862</v>
      </c>
      <c r="R78" s="335"/>
    </row>
    <row r="79" spans="1:18" ht="15" customHeight="1">
      <c r="A79" s="502"/>
      <c r="B79" s="337">
        <f t="shared" si="33"/>
        <v>45076</v>
      </c>
      <c r="C79" s="244">
        <f t="shared" si="37"/>
        <v>0</v>
      </c>
      <c r="D79" s="338">
        <f>IF(D68=0,0,(D57/D68))</f>
        <v>5.6131200000000003</v>
      </c>
      <c r="E79" s="338">
        <f t="shared" si="37"/>
        <v>0</v>
      </c>
      <c r="F79" s="244">
        <f>IF(F68=0,0,(F57/F68))</f>
        <v>8.1053829891039193</v>
      </c>
      <c r="G79" s="244">
        <f t="shared" si="37"/>
        <v>8.514442613948372</v>
      </c>
      <c r="H79" s="338">
        <f t="shared" si="35"/>
        <v>9.8589834868285049</v>
      </c>
      <c r="I79" s="338">
        <f t="shared" si="35"/>
        <v>0</v>
      </c>
      <c r="J79" s="338">
        <f t="shared" si="35"/>
        <v>5.2158595997790105</v>
      </c>
      <c r="K79" s="244">
        <f t="shared" si="35"/>
        <v>0</v>
      </c>
      <c r="L79" s="338">
        <f t="shared" si="35"/>
        <v>5.5496871883216983</v>
      </c>
      <c r="M79" s="338">
        <f t="shared" si="35"/>
        <v>23.597764034253093</v>
      </c>
      <c r="N79" s="338">
        <f t="shared" ref="N79:P79" si="39">IF(N68=0,0,(N57/N68))</f>
        <v>4.3899961469753759</v>
      </c>
      <c r="O79" s="338">
        <f t="shared" si="39"/>
        <v>0</v>
      </c>
      <c r="P79" s="338">
        <f t="shared" si="39"/>
        <v>23.537249950156173</v>
      </c>
      <c r="Q79" s="97">
        <f t="shared" si="38"/>
        <v>6.5740105096296659</v>
      </c>
      <c r="R79" s="336"/>
    </row>
    <row r="80" spans="1:18" ht="15" customHeight="1">
      <c r="A80" s="502"/>
      <c r="B80" s="337">
        <f t="shared" si="33"/>
        <v>45077</v>
      </c>
      <c r="C80" s="244">
        <f t="shared" si="37"/>
        <v>0</v>
      </c>
      <c r="D80" s="244">
        <f>IF(D69=0,0,(D58/D69))</f>
        <v>5.7795224726080159</v>
      </c>
      <c r="E80" s="244">
        <f t="shared" si="37"/>
        <v>0</v>
      </c>
      <c r="F80" s="244">
        <f t="shared" si="37"/>
        <v>9.6335920177383603</v>
      </c>
      <c r="G80" s="244">
        <f t="shared" si="37"/>
        <v>7.8631210122863662</v>
      </c>
      <c r="H80" s="244">
        <f t="shared" si="35"/>
        <v>7.6243724660802377</v>
      </c>
      <c r="I80" s="244">
        <f t="shared" si="35"/>
        <v>0</v>
      </c>
      <c r="J80" s="244">
        <f t="shared" si="35"/>
        <v>4.6899882796281007</v>
      </c>
      <c r="K80" s="244">
        <f t="shared" si="35"/>
        <v>0</v>
      </c>
      <c r="L80" s="338">
        <f t="shared" si="35"/>
        <v>4.0410742894627294</v>
      </c>
      <c r="M80" s="338">
        <f t="shared" si="35"/>
        <v>11.820387594487823</v>
      </c>
      <c r="N80" s="338">
        <f t="shared" ref="N80:P80" si="40">IF(N69=0,0,(N58/N69))</f>
        <v>5.2641295052797314</v>
      </c>
      <c r="O80" s="338">
        <f t="shared" si="40"/>
        <v>0</v>
      </c>
      <c r="P80" s="338">
        <f t="shared" si="40"/>
        <v>15.562989556135769</v>
      </c>
      <c r="Q80" s="97">
        <f t="shared" si="38"/>
        <v>6.3064371600011704</v>
      </c>
      <c r="R80" s="335"/>
    </row>
    <row r="81" spans="1:18" ht="15" customHeight="1">
      <c r="A81" s="502"/>
      <c r="B81" s="337">
        <f t="shared" si="33"/>
        <v>45078</v>
      </c>
      <c r="C81" s="338">
        <f t="shared" si="37"/>
        <v>0</v>
      </c>
      <c r="D81" s="338">
        <f>IF(D70=0,0,(D59/D70))</f>
        <v>15.349073134741309</v>
      </c>
      <c r="E81" s="338">
        <f t="shared" si="37"/>
        <v>0</v>
      </c>
      <c r="F81" s="244">
        <f t="shared" si="37"/>
        <v>5.0413388071615914</v>
      </c>
      <c r="G81" s="244">
        <f t="shared" si="37"/>
        <v>7.6130775994008273</v>
      </c>
      <c r="H81" s="338">
        <f t="shared" si="35"/>
        <v>6.6912074633995564</v>
      </c>
      <c r="I81" s="338">
        <f t="shared" si="35"/>
        <v>0</v>
      </c>
      <c r="J81" s="338">
        <f t="shared" si="35"/>
        <v>4.3166172674251841</v>
      </c>
      <c r="K81" s="244">
        <f t="shared" si="35"/>
        <v>0</v>
      </c>
      <c r="L81" s="338">
        <f t="shared" si="35"/>
        <v>4.5957478890229195</v>
      </c>
      <c r="M81" s="338">
        <f t="shared" si="35"/>
        <v>13.745301790846783</v>
      </c>
      <c r="N81" s="338">
        <f t="shared" ref="N81:P81" si="41">IF(N70=0,0,(N59/N70))</f>
        <v>5.2212965436836614</v>
      </c>
      <c r="O81" s="338">
        <f t="shared" si="41"/>
        <v>0</v>
      </c>
      <c r="P81" s="338">
        <f t="shared" si="41"/>
        <v>13.376194613379671</v>
      </c>
      <c r="Q81" s="97">
        <f t="shared" si="38"/>
        <v>5.8868230309189071</v>
      </c>
      <c r="R81" s="335"/>
    </row>
    <row r="82" spans="1:18" ht="15" customHeight="1">
      <c r="A82" s="502"/>
      <c r="B82" s="337">
        <f t="shared" si="33"/>
        <v>45079</v>
      </c>
      <c r="C82" s="244">
        <f t="shared" si="37"/>
        <v>0</v>
      </c>
      <c r="D82" s="338">
        <f>IF(D71=0,0,(D60/D71))</f>
        <v>12.914600550964188</v>
      </c>
      <c r="E82" s="338">
        <f t="shared" si="37"/>
        <v>0</v>
      </c>
      <c r="F82" s="244">
        <f t="shared" si="37"/>
        <v>4.3550378529421314</v>
      </c>
      <c r="G82" s="244">
        <f t="shared" si="37"/>
        <v>15.34182342822263</v>
      </c>
      <c r="H82" s="338">
        <f t="shared" si="35"/>
        <v>6.0435871743486977</v>
      </c>
      <c r="I82" s="338">
        <f t="shared" si="35"/>
        <v>0</v>
      </c>
      <c r="J82" s="338">
        <f t="shared" si="35"/>
        <v>4.3018225445928531</v>
      </c>
      <c r="K82" s="244">
        <f t="shared" si="35"/>
        <v>0</v>
      </c>
      <c r="L82" s="338">
        <f t="shared" si="35"/>
        <v>5.0584186348798399</v>
      </c>
      <c r="M82" s="338">
        <f t="shared" si="35"/>
        <v>13.959262078213911</v>
      </c>
      <c r="N82" s="338">
        <f t="shared" ref="N82:P82" si="42">IF(N71=0,0,(N60/N71))</f>
        <v>4.7397136919879932</v>
      </c>
      <c r="O82" s="338">
        <f t="shared" si="42"/>
        <v>0</v>
      </c>
      <c r="P82" s="338">
        <f t="shared" si="42"/>
        <v>13.386842795905871</v>
      </c>
      <c r="Q82" s="97">
        <f t="shared" si="38"/>
        <v>5.8103329076270498</v>
      </c>
      <c r="R82" s="335"/>
    </row>
    <row r="83" spans="1:18" ht="15" customHeight="1" thickBot="1">
      <c r="A83" s="502"/>
      <c r="B83" s="300">
        <f>B72</f>
        <v>45080</v>
      </c>
      <c r="C83" s="245">
        <f t="shared" si="37"/>
        <v>0</v>
      </c>
      <c r="D83" s="245">
        <f t="shared" si="37"/>
        <v>0</v>
      </c>
      <c r="E83" s="245">
        <f t="shared" si="37"/>
        <v>0</v>
      </c>
      <c r="F83" s="245">
        <f t="shared" si="37"/>
        <v>5.8546581523521048</v>
      </c>
      <c r="G83" s="244">
        <f t="shared" si="37"/>
        <v>8.095024444581961</v>
      </c>
      <c r="H83" s="245">
        <f t="shared" si="35"/>
        <v>5.4692564766188401</v>
      </c>
      <c r="I83" s="245">
        <f t="shared" si="35"/>
        <v>0</v>
      </c>
      <c r="J83" s="245">
        <f t="shared" si="35"/>
        <v>4.2901674715976874</v>
      </c>
      <c r="K83" s="245">
        <f t="shared" si="35"/>
        <v>0</v>
      </c>
      <c r="L83" s="301">
        <f t="shared" si="35"/>
        <v>4.2670336360407894</v>
      </c>
      <c r="M83" s="301">
        <f t="shared" si="35"/>
        <v>25.064114250987544</v>
      </c>
      <c r="N83" s="301">
        <f t="shared" ref="N83:P83" si="43">IF(N72=0,0,(N61/N72))</f>
        <v>4.3014806990972314</v>
      </c>
      <c r="O83" s="301">
        <f t="shared" si="43"/>
        <v>0</v>
      </c>
      <c r="P83" s="301">
        <f t="shared" si="43"/>
        <v>13.372960564073132</v>
      </c>
      <c r="Q83" s="97">
        <f t="shared" si="38"/>
        <v>5.6074701600088677</v>
      </c>
      <c r="R83" s="240"/>
    </row>
    <row r="84" spans="1:18" ht="15" customHeight="1" thickTop="1">
      <c r="A84" s="502"/>
      <c r="B84" s="61" t="s">
        <v>90</v>
      </c>
      <c r="C84" s="247">
        <f>IF(C73=0,0,(C62/C73))</f>
        <v>0</v>
      </c>
      <c r="D84" s="247">
        <f t="shared" ref="D84:O84" si="44">IF(D73=0,0,(D62/D73))</f>
        <v>7.8479017868489933</v>
      </c>
      <c r="E84" s="247">
        <f t="shared" si="44"/>
        <v>0</v>
      </c>
      <c r="F84" s="247">
        <f t="shared" si="44"/>
        <v>6.3574428192606636</v>
      </c>
      <c r="G84" s="247">
        <f t="shared" si="44"/>
        <v>8.8556318907011882</v>
      </c>
      <c r="H84" s="247">
        <f t="shared" si="44"/>
        <v>7.3230322178916518</v>
      </c>
      <c r="I84" s="247">
        <f t="shared" si="44"/>
        <v>0</v>
      </c>
      <c r="J84" s="247">
        <f t="shared" si="44"/>
        <v>4.7323878611235264</v>
      </c>
      <c r="K84" s="247">
        <f t="shared" si="44"/>
        <v>0</v>
      </c>
      <c r="L84" s="247">
        <f t="shared" si="44"/>
        <v>4.4831474049002455</v>
      </c>
      <c r="M84" s="247">
        <f t="shared" si="44"/>
        <v>15.554268579492007</v>
      </c>
      <c r="N84" s="247">
        <f>IF(N73=0,0,(N62/N73))</f>
        <v>4.8982489947806904</v>
      </c>
      <c r="O84" s="247">
        <f t="shared" si="44"/>
        <v>0</v>
      </c>
      <c r="P84" s="247">
        <f>IF(P73=0,0,(P62/P73))</f>
        <v>13.829729299281246</v>
      </c>
      <c r="Q84" s="246">
        <f>AVERAGE(Q77:Q83)</f>
        <v>6.1730182318232423</v>
      </c>
      <c r="R84" s="239"/>
    </row>
    <row r="85" spans="1:18" ht="12" customHeight="1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31"/>
    </row>
    <row r="86" spans="1:18">
      <c r="A86" s="28"/>
      <c r="B86" s="28"/>
      <c r="C86" s="28"/>
      <c r="D86" s="28"/>
      <c r="E86" s="28"/>
      <c r="F86" s="28"/>
      <c r="G86" s="28"/>
      <c r="H86" s="64"/>
      <c r="I86" s="28"/>
      <c r="J86" s="28"/>
      <c r="K86" s="28"/>
      <c r="L86" s="28"/>
      <c r="M86" s="28"/>
      <c r="N86" s="31"/>
    </row>
    <row r="87" spans="1:18">
      <c r="C87" s="65"/>
      <c r="D87" s="65"/>
      <c r="E87" s="65"/>
      <c r="F87" s="65"/>
      <c r="G87" s="65"/>
      <c r="H87" s="65"/>
      <c r="I87" s="65"/>
      <c r="J87" s="65"/>
      <c r="K87" s="65"/>
      <c r="L87" s="65"/>
      <c r="M87" s="65"/>
      <c r="N87" s="65"/>
      <c r="O87" s="65"/>
      <c r="P87" s="65"/>
      <c r="Q87" s="65"/>
      <c r="R87" s="65"/>
    </row>
    <row r="88" spans="1:18">
      <c r="C88" s="65"/>
      <c r="D88" s="65"/>
      <c r="E88" s="65"/>
      <c r="F88" s="65"/>
      <c r="G88" s="65"/>
      <c r="H88" s="65"/>
      <c r="I88" s="65"/>
      <c r="J88" s="65"/>
      <c r="K88" s="65"/>
      <c r="L88" s="65"/>
      <c r="M88" s="65"/>
      <c r="N88" s="65"/>
    </row>
    <row r="89" spans="1:18">
      <c r="C89" s="65"/>
      <c r="D89" s="65"/>
      <c r="E89" s="65"/>
      <c r="F89" s="65"/>
      <c r="G89" s="65"/>
      <c r="H89" s="65"/>
      <c r="I89" s="65"/>
      <c r="J89" s="65"/>
      <c r="K89" s="65"/>
      <c r="L89" s="65"/>
      <c r="M89" s="65"/>
      <c r="N89" s="65"/>
    </row>
    <row r="90" spans="1:18">
      <c r="C90" s="65"/>
      <c r="D90" s="65"/>
      <c r="E90" s="65"/>
      <c r="F90" s="65"/>
      <c r="G90" s="65"/>
      <c r="H90" s="65"/>
      <c r="I90" s="65"/>
      <c r="J90" s="65"/>
      <c r="K90" s="65"/>
      <c r="L90" s="65"/>
      <c r="M90" s="65"/>
      <c r="N90" s="65"/>
    </row>
    <row r="91" spans="1:18">
      <c r="C91" s="65"/>
      <c r="D91" s="65"/>
      <c r="E91" s="65"/>
      <c r="F91" s="65"/>
      <c r="G91" s="65"/>
      <c r="H91" s="65"/>
      <c r="I91" s="65"/>
      <c r="J91" s="65"/>
      <c r="K91" s="65"/>
      <c r="L91" s="65"/>
      <c r="M91" s="65"/>
      <c r="N91" s="65"/>
    </row>
    <row r="92" spans="1:18">
      <c r="C92" s="65"/>
      <c r="D92" s="65"/>
      <c r="E92" s="65"/>
      <c r="F92" s="65"/>
      <c r="G92" s="65"/>
      <c r="H92" s="65"/>
      <c r="I92" s="65"/>
      <c r="J92" s="65"/>
      <c r="K92" s="65"/>
      <c r="L92" s="65"/>
      <c r="M92" s="65"/>
      <c r="N92" s="65"/>
    </row>
    <row r="93" spans="1:18">
      <c r="C93" s="65"/>
      <c r="D93" s="65"/>
      <c r="E93" s="65"/>
      <c r="F93" s="65"/>
      <c r="G93" s="65"/>
      <c r="H93" s="65"/>
      <c r="I93" s="65"/>
      <c r="J93" s="65"/>
      <c r="K93" s="65"/>
      <c r="L93" s="65"/>
      <c r="M93" s="65"/>
      <c r="N93" s="65"/>
    </row>
    <row r="94" spans="1:18">
      <c r="C94" s="65"/>
      <c r="D94" s="65"/>
      <c r="E94" s="65"/>
      <c r="F94" s="65"/>
      <c r="G94" s="65"/>
      <c r="H94" s="65"/>
      <c r="I94" s="65"/>
      <c r="J94" s="65"/>
      <c r="K94" s="65"/>
      <c r="L94" s="65"/>
      <c r="M94" s="65"/>
      <c r="N94" s="65"/>
    </row>
    <row r="95" spans="1:18">
      <c r="C95" s="65"/>
      <c r="D95" s="65"/>
      <c r="E95" s="65"/>
      <c r="F95" s="65"/>
      <c r="G95" s="65"/>
      <c r="H95" s="65"/>
      <c r="I95" s="65"/>
      <c r="J95" s="65"/>
      <c r="K95" s="65"/>
      <c r="L95" s="65"/>
      <c r="M95" s="65"/>
      <c r="N95" s="65"/>
    </row>
  </sheetData>
  <mergeCells count="79">
    <mergeCell ref="A14:A17"/>
    <mergeCell ref="N23:O23"/>
    <mergeCell ref="M19:M20"/>
    <mergeCell ref="A18:A24"/>
    <mergeCell ref="I19:I20"/>
    <mergeCell ref="S19:S20"/>
    <mergeCell ref="J19:J20"/>
    <mergeCell ref="N24:O24"/>
    <mergeCell ref="S14:S15"/>
    <mergeCell ref="L14:L15"/>
    <mergeCell ref="M14:M15"/>
    <mergeCell ref="L19:L20"/>
    <mergeCell ref="K19:K20"/>
    <mergeCell ref="S25:S26"/>
    <mergeCell ref="I25:I26"/>
    <mergeCell ref="K25:K26"/>
    <mergeCell ref="J25:J26"/>
    <mergeCell ref="L25:L26"/>
    <mergeCell ref="M25:M26"/>
    <mergeCell ref="N25:O25"/>
    <mergeCell ref="N27:O27"/>
    <mergeCell ref="O2:R2"/>
    <mergeCell ref="O3:R3"/>
    <mergeCell ref="O4:R4"/>
    <mergeCell ref="K14:K15"/>
    <mergeCell ref="D1:L3"/>
    <mergeCell ref="E4:L4"/>
    <mergeCell ref="O1:R1"/>
    <mergeCell ref="M1:N1"/>
    <mergeCell ref="M2:N2"/>
    <mergeCell ref="M3:N3"/>
    <mergeCell ref="M4:N4"/>
    <mergeCell ref="J14:J15"/>
    <mergeCell ref="N8:P9"/>
    <mergeCell ref="I14:I15"/>
    <mergeCell ref="I8:M8"/>
    <mergeCell ref="A10:A11"/>
    <mergeCell ref="A8:B9"/>
    <mergeCell ref="C8:D8"/>
    <mergeCell ref="E8:F8"/>
    <mergeCell ref="G8:H8"/>
    <mergeCell ref="A12:A13"/>
    <mergeCell ref="A75:A84"/>
    <mergeCell ref="B75:B76"/>
    <mergeCell ref="A52:D52"/>
    <mergeCell ref="A48:B48"/>
    <mergeCell ref="C53:E53"/>
    <mergeCell ref="C75:E75"/>
    <mergeCell ref="A64:A73"/>
    <mergeCell ref="A53:A62"/>
    <mergeCell ref="B53:B54"/>
    <mergeCell ref="B64:B65"/>
    <mergeCell ref="C64:E64"/>
    <mergeCell ref="I32:I33"/>
    <mergeCell ref="D32:G32"/>
    <mergeCell ref="N28:O28"/>
    <mergeCell ref="R53:R54"/>
    <mergeCell ref="J32:M33"/>
    <mergeCell ref="J34:M48"/>
    <mergeCell ref="G42:G43"/>
    <mergeCell ref="D42:D43"/>
    <mergeCell ref="A25:A27"/>
    <mergeCell ref="A28:B28"/>
    <mergeCell ref="A32:B33"/>
    <mergeCell ref="F42:F43"/>
    <mergeCell ref="E42:E43"/>
    <mergeCell ref="A34:A41"/>
    <mergeCell ref="A42:A43"/>
    <mergeCell ref="R75:R76"/>
    <mergeCell ref="F76:G76"/>
    <mergeCell ref="K53:L53"/>
    <mergeCell ref="H53:I53"/>
    <mergeCell ref="H64:I64"/>
    <mergeCell ref="K64:L64"/>
    <mergeCell ref="H75:I75"/>
    <mergeCell ref="K75:L75"/>
    <mergeCell ref="F54:G54"/>
    <mergeCell ref="R64:R65"/>
    <mergeCell ref="F65:G65"/>
  </mergeCells>
  <phoneticPr fontId="15" type="noConversion"/>
  <conditionalFormatting sqref="B66:B72 B55:B61">
    <cfRule type="expression" dxfId="4" priority="8" stopIfTrue="1">
      <formula>WEEKDAY($A55)=2</formula>
    </cfRule>
  </conditionalFormatting>
  <conditionalFormatting sqref="H86">
    <cfRule type="expression" dxfId="3" priority="6" stopIfTrue="1">
      <formula>WEEKDAY($A86)=1</formula>
    </cfRule>
  </conditionalFormatting>
  <conditionalFormatting sqref="Q55:Q61">
    <cfRule type="expression" dxfId="2" priority="5" stopIfTrue="1">
      <formula>WEEKDAY($A56)=2</formula>
    </cfRule>
  </conditionalFormatting>
  <conditionalFormatting sqref="Q66:Q72">
    <cfRule type="expression" dxfId="1" priority="2" stopIfTrue="1">
      <formula>WEEKDAY($A67)=2</formula>
    </cfRule>
  </conditionalFormatting>
  <conditionalFormatting sqref="Q77:Q83">
    <cfRule type="expression" dxfId="0" priority="1" stopIfTrue="1">
      <formula>WEEKDAY($A78)=2</formula>
    </cfRule>
  </conditionalFormatting>
  <printOptions horizontalCentered="1"/>
  <pageMargins left="0.3" right="0.3" top="0.3" bottom="0.3" header="0.2" footer="0.2"/>
  <pageSetup paperSize="9" scale="50" orientation="portrait" r:id="rId1"/>
  <headerFooter>
    <oddFooter>&amp;L&amp;F&amp;RReported by Production Department                Page &amp;P of &amp;N</oddFooter>
  </headerFooter>
  <rowBreaks count="1" manualBreakCount="1">
    <brk id="49" max="15" man="1"/>
  </rowBreaks>
  <ignoredErrors>
    <ignoredError sqref="H14 G19:H19 G16:H16 H15 J16 I16 I11:K11 I17:K17 I15:K15 I14:J14 I24:K24 I23:J23 F42 C42 C43:G43 C46 F39 C41:G41 C39 E39 H41:I41 H39:I39 C48 H46:I46 C45 I42 I48 C47 H45:I45 E17:F17 I40 E23:F23 I13:K13 I12:J12 I19:J19 I26:K26 I25:J25 I43 F44 E45:F45 E47:F47 I47 I36 G35:I35 I37 C36 C37:H37 C35 E35:F35 H36 E36:F36 D36 G36 F48 F13 E12:G12 E14:G15 E13 G13" formula="1"/>
  </ignoredError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1E8B2A-1CD7-44D8-97E9-8DB62F7A17DE}">
  <sheetPr>
    <pageSetUpPr fitToPage="1"/>
  </sheetPr>
  <dimension ref="A1:P517"/>
  <sheetViews>
    <sheetView showGridLines="0" view="pageBreakPreview" zoomScaleNormal="100" zoomScaleSheetLayoutView="100" workbookViewId="0">
      <pane ySplit="13" topLeftCell="A14" activePane="bottomLeft" state="frozen"/>
      <selection activeCell="D1" sqref="D1:L3"/>
      <selection pane="bottomLeft" sqref="A1:P1"/>
    </sheetView>
  </sheetViews>
  <sheetFormatPr defaultColWidth="8.88671875" defaultRowHeight="15" customHeight="1"/>
  <cols>
    <col min="1" max="1" width="11.77734375" style="28" customWidth="1"/>
    <col min="2" max="9" width="4.77734375" style="28" customWidth="1"/>
    <col min="10" max="10" width="7.77734375" style="28" customWidth="1"/>
    <col min="11" max="15" width="4.77734375" style="28" customWidth="1"/>
    <col min="16" max="16" width="7.77734375" style="28" customWidth="1"/>
    <col min="17" max="16384" width="8.88671875" style="28"/>
  </cols>
  <sheetData>
    <row r="1" spans="1:16" ht="18">
      <c r="A1" s="596" t="s">
        <v>91</v>
      </c>
      <c r="B1" s="597"/>
      <c r="C1" s="597"/>
      <c r="D1" s="597"/>
      <c r="E1" s="597"/>
      <c r="F1" s="597"/>
      <c r="G1" s="597"/>
      <c r="H1" s="597"/>
      <c r="I1" s="597"/>
      <c r="J1" s="597"/>
      <c r="K1" s="597"/>
      <c r="L1" s="597"/>
      <c r="M1" s="597"/>
      <c r="N1" s="597"/>
      <c r="O1" s="597"/>
      <c r="P1" s="598"/>
    </row>
    <row r="2" spans="1:16" ht="15" customHeight="1">
      <c r="A2" s="599" t="s">
        <v>92</v>
      </c>
      <c r="B2" s="600"/>
      <c r="C2" s="600"/>
      <c r="D2" s="600"/>
      <c r="E2" s="600"/>
      <c r="F2" s="600"/>
      <c r="G2" s="600"/>
      <c r="H2" s="600"/>
      <c r="I2" s="600"/>
      <c r="J2" s="600"/>
      <c r="K2" s="600"/>
      <c r="L2" s="600"/>
      <c r="M2" s="600"/>
      <c r="N2" s="600"/>
      <c r="O2" s="600"/>
      <c r="P2" s="601"/>
    </row>
    <row r="3" spans="1:16" ht="15" customHeight="1">
      <c r="A3" s="66" t="s">
        <v>93</v>
      </c>
      <c r="B3" s="579" t="s">
        <v>94</v>
      </c>
      <c r="C3" s="580"/>
      <c r="D3" s="581"/>
      <c r="E3" s="579" t="s">
        <v>95</v>
      </c>
      <c r="F3" s="580"/>
      <c r="G3" s="581"/>
      <c r="H3" s="602" t="s">
        <v>96</v>
      </c>
      <c r="I3" s="603"/>
      <c r="J3" s="604"/>
      <c r="K3" s="579" t="s">
        <v>97</v>
      </c>
      <c r="L3" s="580"/>
      <c r="M3" s="581"/>
      <c r="N3" s="579" t="s">
        <v>98</v>
      </c>
      <c r="O3" s="580"/>
      <c r="P3" s="582"/>
    </row>
    <row r="4" spans="1:16" ht="15" customHeight="1">
      <c r="A4" s="66" t="s">
        <v>99</v>
      </c>
      <c r="B4" s="631" t="s">
        <v>100</v>
      </c>
      <c r="C4" s="631"/>
      <c r="D4" s="631"/>
      <c r="E4" s="631"/>
      <c r="F4" s="631"/>
      <c r="G4" s="502" t="s">
        <v>101</v>
      </c>
      <c r="H4" s="502"/>
      <c r="I4" s="502"/>
      <c r="J4" s="502" t="s">
        <v>102</v>
      </c>
      <c r="K4" s="502"/>
      <c r="L4" s="502"/>
      <c r="M4" s="502" t="s">
        <v>103</v>
      </c>
      <c r="N4" s="502"/>
      <c r="O4" s="502"/>
      <c r="P4" s="502"/>
    </row>
    <row r="5" spans="1:16" ht="15" customHeight="1">
      <c r="A5" s="66" t="s">
        <v>104</v>
      </c>
      <c r="B5" s="632" t="s">
        <v>83</v>
      </c>
      <c r="C5" s="632"/>
      <c r="D5" s="632"/>
      <c r="E5" s="632"/>
      <c r="F5" s="632"/>
      <c r="G5" s="482" t="s">
        <v>105</v>
      </c>
      <c r="H5" s="482"/>
      <c r="I5" s="482"/>
      <c r="J5" s="482" t="s">
        <v>86</v>
      </c>
      <c r="K5" s="482"/>
      <c r="L5" s="482"/>
      <c r="M5" s="482" t="s">
        <v>70</v>
      </c>
      <c r="N5" s="482"/>
      <c r="O5" s="482"/>
      <c r="P5" s="482"/>
    </row>
    <row r="6" spans="1:16" ht="15" customHeight="1">
      <c r="A6" s="66" t="s">
        <v>106</v>
      </c>
      <c r="B6" s="302" t="s">
        <v>107</v>
      </c>
      <c r="C6" s="289"/>
      <c r="D6" s="290"/>
      <c r="E6" s="303" t="s">
        <v>108</v>
      </c>
      <c r="F6" s="287"/>
      <c r="G6" s="288"/>
      <c r="H6" s="579" t="s">
        <v>109</v>
      </c>
      <c r="I6" s="580"/>
      <c r="J6" s="581"/>
      <c r="K6" s="579" t="s">
        <v>110</v>
      </c>
      <c r="L6" s="580"/>
      <c r="M6" s="581"/>
      <c r="N6" s="579" t="s">
        <v>111</v>
      </c>
      <c r="O6" s="580"/>
      <c r="P6" s="582"/>
    </row>
    <row r="7" spans="1:16" ht="5.0999999999999996" customHeight="1">
      <c r="A7" s="67"/>
      <c r="P7" s="68"/>
    </row>
    <row r="8" spans="1:16" ht="15" customHeight="1">
      <c r="A8" s="69" t="s">
        <v>112</v>
      </c>
      <c r="B8" s="588" t="s">
        <v>113</v>
      </c>
      <c r="C8" s="588"/>
      <c r="D8" s="588"/>
      <c r="E8" s="588"/>
      <c r="F8" s="29"/>
      <c r="G8" s="29"/>
      <c r="H8" s="29"/>
      <c r="I8" s="29"/>
      <c r="P8" s="68"/>
    </row>
    <row r="9" spans="1:16" ht="15" customHeight="1">
      <c r="A9" s="69" t="s">
        <v>16</v>
      </c>
      <c r="B9" s="592">
        <f>+Cover!A13-1</f>
        <v>45081</v>
      </c>
      <c r="C9" s="592"/>
      <c r="D9" s="592"/>
      <c r="E9" s="592"/>
      <c r="F9" s="592"/>
      <c r="G9" s="82"/>
      <c r="H9" s="82"/>
      <c r="I9" s="82"/>
      <c r="P9" s="68"/>
    </row>
    <row r="10" spans="1:16" ht="15" customHeight="1">
      <c r="A10" s="69" t="s">
        <v>114</v>
      </c>
      <c r="B10" s="588" t="s">
        <v>115</v>
      </c>
      <c r="C10" s="588"/>
      <c r="D10" s="588"/>
      <c r="E10" s="588"/>
      <c r="F10" s="29"/>
      <c r="G10" s="29"/>
      <c r="H10" s="29"/>
      <c r="I10" s="29"/>
      <c r="P10" s="68"/>
    </row>
    <row r="11" spans="1:16" ht="5.0999999999999996" customHeight="1">
      <c r="A11" s="67"/>
      <c r="P11" s="68"/>
    </row>
    <row r="12" spans="1:16" ht="12" customHeight="1">
      <c r="A12" s="606" t="s">
        <v>116</v>
      </c>
      <c r="B12" s="593" t="s">
        <v>117</v>
      </c>
      <c r="C12" s="594"/>
      <c r="D12" s="595"/>
      <c r="E12" s="593" t="s">
        <v>26</v>
      </c>
      <c r="F12" s="594"/>
      <c r="G12" s="594"/>
      <c r="H12" s="594"/>
      <c r="I12" s="594"/>
      <c r="J12" s="595"/>
      <c r="K12" s="593" t="s">
        <v>27</v>
      </c>
      <c r="L12" s="594"/>
      <c r="M12" s="594"/>
      <c r="N12" s="594"/>
      <c r="O12" s="594"/>
      <c r="P12" s="607"/>
    </row>
    <row r="13" spans="1:16" ht="12" customHeight="1">
      <c r="A13" s="606"/>
      <c r="B13" s="339" t="s">
        <v>118</v>
      </c>
      <c r="C13" s="339" t="s">
        <v>119</v>
      </c>
      <c r="D13" s="339" t="s">
        <v>120</v>
      </c>
      <c r="E13" s="339" t="s">
        <v>121</v>
      </c>
      <c r="F13" s="339" t="s">
        <v>122</v>
      </c>
      <c r="G13" s="339" t="s">
        <v>123</v>
      </c>
      <c r="H13" s="339" t="s">
        <v>124</v>
      </c>
      <c r="I13" s="339" t="s">
        <v>125</v>
      </c>
      <c r="J13" s="339" t="s">
        <v>126</v>
      </c>
      <c r="K13" s="339" t="s">
        <v>121</v>
      </c>
      <c r="L13" s="339" t="s">
        <v>122</v>
      </c>
      <c r="M13" s="339" t="s">
        <v>123</v>
      </c>
      <c r="N13" s="339" t="s">
        <v>124</v>
      </c>
      <c r="O13" s="339" t="s">
        <v>125</v>
      </c>
      <c r="P13" s="70" t="s">
        <v>126</v>
      </c>
    </row>
    <row r="14" spans="1:16" ht="12" customHeight="1">
      <c r="A14" s="589" t="s">
        <v>127</v>
      </c>
      <c r="B14" s="340" t="s">
        <v>128</v>
      </c>
      <c r="C14" s="340">
        <v>1</v>
      </c>
      <c r="D14" s="341" t="s">
        <v>37</v>
      </c>
      <c r="E14" s="340">
        <v>100</v>
      </c>
      <c r="F14" s="340">
        <v>2</v>
      </c>
      <c r="G14" s="340">
        <v>3</v>
      </c>
      <c r="H14" s="340">
        <v>1</v>
      </c>
      <c r="I14" s="340">
        <v>1.3</v>
      </c>
      <c r="J14" s="342">
        <f>+E14*F14*G14*H14*I14</f>
        <v>780</v>
      </c>
      <c r="K14" s="343">
        <v>100</v>
      </c>
      <c r="L14" s="344">
        <v>2</v>
      </c>
      <c r="M14" s="343">
        <v>3</v>
      </c>
      <c r="N14" s="340">
        <v>0.95</v>
      </c>
      <c r="O14" s="340">
        <v>1.3</v>
      </c>
      <c r="P14" s="81">
        <f t="shared" ref="P14:P32" si="0">+K14*L14*M14*N14*O14</f>
        <v>741</v>
      </c>
    </row>
    <row r="15" spans="1:16" ht="12" customHeight="1">
      <c r="A15" s="590"/>
      <c r="B15" s="340" t="s">
        <v>129</v>
      </c>
      <c r="C15" s="340">
        <v>2</v>
      </c>
      <c r="D15" s="341" t="s">
        <v>37</v>
      </c>
      <c r="E15" s="340"/>
      <c r="F15" s="340"/>
      <c r="G15" s="340"/>
      <c r="H15" s="340">
        <v>1</v>
      </c>
      <c r="I15" s="345">
        <v>1.3</v>
      </c>
      <c r="J15" s="342">
        <f>+E15*F15*G15*H15*I15</f>
        <v>0</v>
      </c>
      <c r="K15" s="343"/>
      <c r="L15" s="344"/>
      <c r="M15" s="343"/>
      <c r="N15" s="340">
        <v>0.95</v>
      </c>
      <c r="O15" s="340">
        <v>1.3</v>
      </c>
      <c r="P15" s="81">
        <f t="shared" si="0"/>
        <v>0</v>
      </c>
    </row>
    <row r="16" spans="1:16" ht="12" customHeight="1">
      <c r="A16" s="590"/>
      <c r="B16" s="340" t="s">
        <v>130</v>
      </c>
      <c r="C16" s="340">
        <v>3</v>
      </c>
      <c r="D16" s="341" t="s">
        <v>37</v>
      </c>
      <c r="E16" s="340"/>
      <c r="F16" s="340"/>
      <c r="G16" s="340"/>
      <c r="H16" s="340">
        <v>1</v>
      </c>
      <c r="I16" s="340">
        <v>1.3</v>
      </c>
      <c r="J16" s="346">
        <f t="shared" ref="J16:J24" si="1">+E16*F16*G16*H16*I16</f>
        <v>0</v>
      </c>
      <c r="K16" s="343"/>
      <c r="L16" s="344"/>
      <c r="M16" s="343"/>
      <c r="N16" s="340">
        <v>0.95</v>
      </c>
      <c r="O16" s="340">
        <v>1.3</v>
      </c>
      <c r="P16" s="81">
        <f t="shared" si="0"/>
        <v>0</v>
      </c>
    </row>
    <row r="17" spans="1:16" ht="12" customHeight="1">
      <c r="A17" s="590"/>
      <c r="B17" s="340" t="s">
        <v>131</v>
      </c>
      <c r="C17" s="340">
        <v>4</v>
      </c>
      <c r="D17" s="341" t="s">
        <v>37</v>
      </c>
      <c r="E17" s="340"/>
      <c r="F17" s="340"/>
      <c r="G17" s="340"/>
      <c r="H17" s="340">
        <v>1</v>
      </c>
      <c r="I17" s="345">
        <v>1.3</v>
      </c>
      <c r="J17" s="347">
        <f t="shared" si="1"/>
        <v>0</v>
      </c>
      <c r="K17" s="348"/>
      <c r="L17" s="349"/>
      <c r="M17" s="348"/>
      <c r="N17" s="340">
        <v>0.95</v>
      </c>
      <c r="O17" s="340">
        <v>1.3</v>
      </c>
      <c r="P17" s="188">
        <f t="shared" si="0"/>
        <v>0</v>
      </c>
    </row>
    <row r="18" spans="1:16" ht="12" customHeight="1">
      <c r="A18" s="590"/>
      <c r="B18" s="340" t="s">
        <v>132</v>
      </c>
      <c r="C18" s="340">
        <v>5</v>
      </c>
      <c r="D18" s="341" t="s">
        <v>37</v>
      </c>
      <c r="E18" s="340"/>
      <c r="F18" s="340"/>
      <c r="G18" s="340"/>
      <c r="H18" s="340">
        <v>1</v>
      </c>
      <c r="I18" s="345">
        <v>1.3</v>
      </c>
      <c r="J18" s="347">
        <f t="shared" si="1"/>
        <v>0</v>
      </c>
      <c r="K18" s="348"/>
      <c r="L18" s="349"/>
      <c r="M18" s="348"/>
      <c r="N18" s="340">
        <v>0.95</v>
      </c>
      <c r="O18" s="340">
        <v>1.3</v>
      </c>
      <c r="P18" s="188">
        <f t="shared" si="0"/>
        <v>0</v>
      </c>
    </row>
    <row r="19" spans="1:16" ht="12" customHeight="1">
      <c r="A19" s="590"/>
      <c r="B19" s="340" t="s">
        <v>133</v>
      </c>
      <c r="C19" s="340">
        <v>6</v>
      </c>
      <c r="D19" s="341" t="s">
        <v>37</v>
      </c>
      <c r="E19" s="340"/>
      <c r="F19" s="340"/>
      <c r="G19" s="340"/>
      <c r="H19" s="340">
        <v>1</v>
      </c>
      <c r="I19" s="345">
        <v>1.3</v>
      </c>
      <c r="J19" s="347">
        <f t="shared" si="1"/>
        <v>0</v>
      </c>
      <c r="K19" s="348"/>
      <c r="L19" s="349"/>
      <c r="M19" s="348"/>
      <c r="N19" s="340">
        <v>0.95</v>
      </c>
      <c r="O19" s="340">
        <v>1.3</v>
      </c>
      <c r="P19" s="188">
        <f t="shared" si="0"/>
        <v>0</v>
      </c>
    </row>
    <row r="20" spans="1:16" ht="12" customHeight="1">
      <c r="A20" s="590"/>
      <c r="B20" s="340" t="s">
        <v>134</v>
      </c>
      <c r="C20" s="340">
        <v>7</v>
      </c>
      <c r="D20" s="341" t="s">
        <v>37</v>
      </c>
      <c r="E20" s="340"/>
      <c r="F20" s="340"/>
      <c r="G20" s="340"/>
      <c r="H20" s="340">
        <v>1</v>
      </c>
      <c r="I20" s="345">
        <v>1.3</v>
      </c>
      <c r="J20" s="346">
        <f t="shared" si="1"/>
        <v>0</v>
      </c>
      <c r="K20" s="343"/>
      <c r="L20" s="344"/>
      <c r="M20" s="343"/>
      <c r="N20" s="340">
        <v>0.95</v>
      </c>
      <c r="O20" s="340">
        <v>1.3</v>
      </c>
      <c r="P20" s="81">
        <f t="shared" si="0"/>
        <v>0</v>
      </c>
    </row>
    <row r="21" spans="1:16" ht="12" customHeight="1">
      <c r="A21" s="590"/>
      <c r="B21" s="340" t="s">
        <v>135</v>
      </c>
      <c r="C21" s="340">
        <v>8</v>
      </c>
      <c r="D21" s="350" t="s">
        <v>40</v>
      </c>
      <c r="E21" s="340"/>
      <c r="F21" s="340"/>
      <c r="G21" s="340"/>
      <c r="H21" s="340">
        <v>1</v>
      </c>
      <c r="I21" s="345">
        <v>1.3</v>
      </c>
      <c r="J21" s="346">
        <f t="shared" si="1"/>
        <v>0</v>
      </c>
      <c r="K21" s="343"/>
      <c r="L21" s="344"/>
      <c r="M21" s="343"/>
      <c r="N21" s="340">
        <v>0.95</v>
      </c>
      <c r="O21" s="340">
        <v>1.3</v>
      </c>
      <c r="P21" s="81">
        <f t="shared" si="0"/>
        <v>0</v>
      </c>
    </row>
    <row r="22" spans="1:16" ht="12" customHeight="1">
      <c r="A22" s="590"/>
      <c r="B22" s="340" t="s">
        <v>136</v>
      </c>
      <c r="C22" s="340">
        <v>9</v>
      </c>
      <c r="D22" s="341" t="s">
        <v>37</v>
      </c>
      <c r="E22" s="351"/>
      <c r="F22" s="351"/>
      <c r="G22" s="351"/>
      <c r="H22" s="340">
        <v>1</v>
      </c>
      <c r="I22" s="345">
        <v>1.3</v>
      </c>
      <c r="J22" s="346">
        <f t="shared" si="1"/>
        <v>0</v>
      </c>
      <c r="K22" s="343"/>
      <c r="L22" s="344"/>
      <c r="M22" s="343"/>
      <c r="N22" s="340">
        <v>0.95</v>
      </c>
      <c r="O22" s="340">
        <v>1.3</v>
      </c>
      <c r="P22" s="81">
        <f t="shared" si="0"/>
        <v>0</v>
      </c>
    </row>
    <row r="23" spans="1:16" ht="12" customHeight="1">
      <c r="A23" s="590"/>
      <c r="B23" s="340" t="s">
        <v>137</v>
      </c>
      <c r="C23" s="340">
        <v>10</v>
      </c>
      <c r="D23" s="341" t="s">
        <v>37</v>
      </c>
      <c r="E23" s="340"/>
      <c r="F23" s="340"/>
      <c r="G23" s="340"/>
      <c r="H23" s="340">
        <v>1</v>
      </c>
      <c r="I23" s="345">
        <v>1.3</v>
      </c>
      <c r="J23" s="346">
        <f t="shared" si="1"/>
        <v>0</v>
      </c>
      <c r="K23" s="343"/>
      <c r="L23" s="344"/>
      <c r="M23" s="343"/>
      <c r="N23" s="340">
        <v>0.95</v>
      </c>
      <c r="O23" s="340">
        <v>1.3</v>
      </c>
      <c r="P23" s="81">
        <f t="shared" si="0"/>
        <v>0</v>
      </c>
    </row>
    <row r="24" spans="1:16" ht="12" customHeight="1">
      <c r="A24" s="590"/>
      <c r="B24" s="340" t="s">
        <v>138</v>
      </c>
      <c r="C24" s="340">
        <v>11</v>
      </c>
      <c r="D24" s="341" t="s">
        <v>37</v>
      </c>
      <c r="E24" s="340"/>
      <c r="F24" s="340"/>
      <c r="G24" s="340"/>
      <c r="H24" s="340">
        <v>1</v>
      </c>
      <c r="I24" s="345">
        <v>1.3</v>
      </c>
      <c r="J24" s="346">
        <f t="shared" si="1"/>
        <v>0</v>
      </c>
      <c r="K24" s="343"/>
      <c r="L24" s="344"/>
      <c r="M24" s="343"/>
      <c r="N24" s="340">
        <v>0.95</v>
      </c>
      <c r="O24" s="340">
        <v>1.3</v>
      </c>
      <c r="P24" s="81">
        <f t="shared" si="0"/>
        <v>0</v>
      </c>
    </row>
    <row r="25" spans="1:16" ht="12" customHeight="1">
      <c r="A25" s="590"/>
      <c r="B25" s="340" t="s">
        <v>139</v>
      </c>
      <c r="C25" s="340">
        <v>12</v>
      </c>
      <c r="D25" s="350" t="s">
        <v>40</v>
      </c>
      <c r="E25" s="352"/>
      <c r="F25" s="340"/>
      <c r="G25" s="340"/>
      <c r="H25" s="340">
        <v>1</v>
      </c>
      <c r="I25" s="345">
        <v>1.3</v>
      </c>
      <c r="J25" s="305">
        <f t="shared" ref="J25:J32" si="2">+E25*F25*G25*H25*I25</f>
        <v>0</v>
      </c>
      <c r="K25" s="343"/>
      <c r="L25" s="343"/>
      <c r="M25" s="343"/>
      <c r="N25" s="340">
        <v>0.95</v>
      </c>
      <c r="O25" s="340">
        <v>1.3</v>
      </c>
      <c r="P25" s="81">
        <f t="shared" si="0"/>
        <v>0</v>
      </c>
    </row>
    <row r="26" spans="1:16" ht="12" customHeight="1">
      <c r="A26" s="590"/>
      <c r="B26" s="340" t="s">
        <v>140</v>
      </c>
      <c r="C26" s="340">
        <v>13</v>
      </c>
      <c r="D26" s="341" t="s">
        <v>37</v>
      </c>
      <c r="E26" s="353"/>
      <c r="F26" s="351"/>
      <c r="G26" s="351"/>
      <c r="H26" s="340">
        <v>1</v>
      </c>
      <c r="I26" s="345">
        <v>1.3</v>
      </c>
      <c r="J26" s="305">
        <f t="shared" si="2"/>
        <v>0</v>
      </c>
      <c r="K26" s="343"/>
      <c r="L26" s="343"/>
      <c r="M26" s="343"/>
      <c r="N26" s="340">
        <v>0.95</v>
      </c>
      <c r="O26" s="340">
        <v>1.3</v>
      </c>
      <c r="P26" s="81">
        <f t="shared" si="0"/>
        <v>0</v>
      </c>
    </row>
    <row r="27" spans="1:16" ht="12" customHeight="1">
      <c r="A27" s="590"/>
      <c r="B27" s="340" t="s">
        <v>141</v>
      </c>
      <c r="C27" s="340">
        <v>14</v>
      </c>
      <c r="D27" s="341" t="s">
        <v>37</v>
      </c>
      <c r="E27" s="354"/>
      <c r="F27" s="355"/>
      <c r="G27" s="355"/>
      <c r="H27" s="340">
        <v>1</v>
      </c>
      <c r="I27" s="345">
        <v>1.3</v>
      </c>
      <c r="J27" s="305">
        <f t="shared" si="2"/>
        <v>0</v>
      </c>
      <c r="K27" s="343"/>
      <c r="L27" s="343"/>
      <c r="M27" s="343"/>
      <c r="N27" s="340">
        <v>0.95</v>
      </c>
      <c r="O27" s="340">
        <v>1.3</v>
      </c>
      <c r="P27" s="81">
        <f t="shared" si="0"/>
        <v>0</v>
      </c>
    </row>
    <row r="28" spans="1:16" ht="12" customHeight="1">
      <c r="A28" s="590"/>
      <c r="B28" s="340" t="s">
        <v>142</v>
      </c>
      <c r="C28" s="340">
        <v>15</v>
      </c>
      <c r="D28" s="356" t="s">
        <v>41</v>
      </c>
      <c r="E28" s="353"/>
      <c r="F28" s="351"/>
      <c r="G28" s="351"/>
      <c r="H28" s="340">
        <v>1</v>
      </c>
      <c r="I28" s="345">
        <v>1.3</v>
      </c>
      <c r="J28" s="305">
        <f t="shared" si="2"/>
        <v>0</v>
      </c>
      <c r="K28" s="343"/>
      <c r="L28" s="343"/>
      <c r="M28" s="343"/>
      <c r="N28" s="340">
        <v>0.95</v>
      </c>
      <c r="O28" s="340">
        <v>1.3</v>
      </c>
      <c r="P28" s="81">
        <f t="shared" si="0"/>
        <v>0</v>
      </c>
    </row>
    <row r="29" spans="1:16" ht="12" customHeight="1">
      <c r="A29" s="590"/>
      <c r="B29" s="340" t="s">
        <v>143</v>
      </c>
      <c r="C29" s="340">
        <v>16</v>
      </c>
      <c r="D29" s="341" t="s">
        <v>37</v>
      </c>
      <c r="E29" s="357"/>
      <c r="F29" s="345"/>
      <c r="G29" s="345"/>
      <c r="H29" s="340">
        <v>1</v>
      </c>
      <c r="I29" s="345">
        <v>1.3</v>
      </c>
      <c r="J29" s="305">
        <f t="shared" si="2"/>
        <v>0</v>
      </c>
      <c r="K29" s="343"/>
      <c r="L29" s="343"/>
      <c r="M29" s="343"/>
      <c r="N29" s="340">
        <v>0.95</v>
      </c>
      <c r="O29" s="340">
        <v>1.3</v>
      </c>
      <c r="P29" s="81">
        <f t="shared" si="0"/>
        <v>0</v>
      </c>
    </row>
    <row r="30" spans="1:16" ht="12" customHeight="1">
      <c r="A30" s="590"/>
      <c r="B30" s="340"/>
      <c r="C30" s="340"/>
      <c r="D30" s="341"/>
      <c r="E30" s="357"/>
      <c r="F30" s="345"/>
      <c r="G30" s="345"/>
      <c r="H30" s="340">
        <v>1</v>
      </c>
      <c r="I30" s="345">
        <v>1.3</v>
      </c>
      <c r="J30" s="305">
        <f t="shared" si="2"/>
        <v>0</v>
      </c>
      <c r="K30" s="343"/>
      <c r="L30" s="343"/>
      <c r="M30" s="343"/>
      <c r="N30" s="340">
        <v>0.95</v>
      </c>
      <c r="O30" s="340">
        <v>1.3</v>
      </c>
      <c r="P30" s="81">
        <f t="shared" si="0"/>
        <v>0</v>
      </c>
    </row>
    <row r="31" spans="1:16" ht="12" customHeight="1">
      <c r="A31" s="590"/>
      <c r="B31" s="340"/>
      <c r="C31" s="340"/>
      <c r="D31" s="350"/>
      <c r="E31" s="357"/>
      <c r="F31" s="345"/>
      <c r="G31" s="345"/>
      <c r="H31" s="340">
        <v>1</v>
      </c>
      <c r="I31" s="345">
        <v>1.3</v>
      </c>
      <c r="J31" s="305">
        <f t="shared" si="2"/>
        <v>0</v>
      </c>
      <c r="K31" s="343"/>
      <c r="L31" s="343"/>
      <c r="M31" s="343"/>
      <c r="N31" s="340">
        <v>0.95</v>
      </c>
      <c r="O31" s="340">
        <v>1.3</v>
      </c>
      <c r="P31" s="81">
        <f t="shared" si="0"/>
        <v>0</v>
      </c>
    </row>
    <row r="32" spans="1:16" ht="12" customHeight="1">
      <c r="A32" s="590"/>
      <c r="B32" s="340"/>
      <c r="C32" s="340"/>
      <c r="D32" s="341"/>
      <c r="E32" s="357"/>
      <c r="F32" s="345"/>
      <c r="G32" s="345"/>
      <c r="H32" s="340">
        <v>1</v>
      </c>
      <c r="I32" s="345">
        <v>1.3</v>
      </c>
      <c r="J32" s="305">
        <f t="shared" si="2"/>
        <v>0</v>
      </c>
      <c r="K32" s="343"/>
      <c r="L32" s="343"/>
      <c r="M32" s="343"/>
      <c r="N32" s="340">
        <v>0.95</v>
      </c>
      <c r="O32" s="340">
        <v>1.3</v>
      </c>
      <c r="P32" s="81">
        <f t="shared" si="0"/>
        <v>0</v>
      </c>
    </row>
    <row r="33" spans="1:16" ht="12" customHeight="1">
      <c r="A33" s="590"/>
      <c r="B33" s="340"/>
      <c r="C33" s="340"/>
      <c r="D33" s="341"/>
      <c r="E33" s="357"/>
      <c r="F33" s="345"/>
      <c r="G33" s="345"/>
      <c r="H33" s="340"/>
      <c r="I33" s="345"/>
      <c r="J33" s="306"/>
      <c r="K33" s="343"/>
      <c r="L33" s="343"/>
      <c r="M33" s="343"/>
      <c r="N33" s="340"/>
      <c r="O33" s="340"/>
      <c r="P33" s="276">
        <f>J33*0.95</f>
        <v>0</v>
      </c>
    </row>
    <row r="34" spans="1:16" ht="12" customHeight="1">
      <c r="A34" s="591"/>
      <c r="B34" s="584" t="s">
        <v>36</v>
      </c>
      <c r="C34" s="584"/>
      <c r="D34" s="584"/>
      <c r="E34" s="358"/>
      <c r="F34" s="359"/>
      <c r="G34" s="339"/>
      <c r="H34" s="339"/>
      <c r="I34" s="339"/>
      <c r="J34" s="346">
        <f>SUM(J14:J33)</f>
        <v>780</v>
      </c>
      <c r="K34" s="307"/>
      <c r="L34" s="346"/>
      <c r="M34" s="346"/>
      <c r="N34" s="346"/>
      <c r="O34" s="346"/>
      <c r="P34" s="81">
        <f>SUM(P14:P33)</f>
        <v>741</v>
      </c>
    </row>
    <row r="35" spans="1:16" ht="12" customHeight="1">
      <c r="A35" s="589" t="s">
        <v>144</v>
      </c>
      <c r="B35" s="340" t="s">
        <v>136</v>
      </c>
      <c r="C35" s="340">
        <v>1</v>
      </c>
      <c r="D35" s="341" t="s">
        <v>37</v>
      </c>
      <c r="E35" s="340"/>
      <c r="F35" s="351"/>
      <c r="G35" s="351"/>
      <c r="H35" s="340">
        <v>1</v>
      </c>
      <c r="I35" s="340">
        <v>1.3</v>
      </c>
      <c r="J35" s="346">
        <f t="shared" ref="J35:J46" si="3">+E35*F35*G35*H35*I35</f>
        <v>0</v>
      </c>
      <c r="K35" s="343"/>
      <c r="L35" s="344"/>
      <c r="M35" s="343"/>
      <c r="N35" s="340">
        <v>0.95</v>
      </c>
      <c r="O35" s="340">
        <v>1.3</v>
      </c>
      <c r="P35" s="81">
        <f t="shared" ref="P35:P50" si="4">+K35*L35*M35*N35*O35</f>
        <v>0</v>
      </c>
    </row>
    <row r="36" spans="1:16" ht="12" customHeight="1">
      <c r="A36" s="590"/>
      <c r="B36" s="340" t="s">
        <v>135</v>
      </c>
      <c r="C36" s="340">
        <v>2</v>
      </c>
      <c r="D36" s="350" t="s">
        <v>40</v>
      </c>
      <c r="E36" s="351"/>
      <c r="F36" s="351"/>
      <c r="G36" s="351"/>
      <c r="H36" s="340">
        <v>1</v>
      </c>
      <c r="I36" s="340">
        <v>1.3</v>
      </c>
      <c r="J36" s="346">
        <f t="shared" si="3"/>
        <v>0</v>
      </c>
      <c r="K36" s="343"/>
      <c r="L36" s="344"/>
      <c r="M36" s="343"/>
      <c r="N36" s="340">
        <v>0.95</v>
      </c>
      <c r="O36" s="340">
        <v>1.3</v>
      </c>
      <c r="P36" s="81">
        <f t="shared" si="4"/>
        <v>0</v>
      </c>
    </row>
    <row r="37" spans="1:16" ht="12" customHeight="1">
      <c r="A37" s="590"/>
      <c r="B37" s="340" t="s">
        <v>139</v>
      </c>
      <c r="C37" s="340">
        <v>3</v>
      </c>
      <c r="D37" s="350" t="s">
        <v>40</v>
      </c>
      <c r="E37" s="351"/>
      <c r="F37" s="351"/>
      <c r="G37" s="351"/>
      <c r="H37" s="340">
        <v>1</v>
      </c>
      <c r="I37" s="340">
        <v>1.3</v>
      </c>
      <c r="J37" s="346">
        <f t="shared" si="3"/>
        <v>0</v>
      </c>
      <c r="K37" s="343"/>
      <c r="L37" s="344"/>
      <c r="M37" s="343"/>
      <c r="N37" s="340">
        <v>0.95</v>
      </c>
      <c r="O37" s="340">
        <v>1.3</v>
      </c>
      <c r="P37" s="81">
        <f t="shared" si="4"/>
        <v>0</v>
      </c>
    </row>
    <row r="38" spans="1:16" ht="12" customHeight="1">
      <c r="A38" s="590"/>
      <c r="B38" s="340" t="s">
        <v>140</v>
      </c>
      <c r="C38" s="340">
        <v>4</v>
      </c>
      <c r="D38" s="341" t="s">
        <v>37</v>
      </c>
      <c r="E38" s="351"/>
      <c r="F38" s="360"/>
      <c r="G38" s="351"/>
      <c r="H38" s="340">
        <v>1</v>
      </c>
      <c r="I38" s="340">
        <v>1.3</v>
      </c>
      <c r="J38" s="346">
        <f t="shared" si="3"/>
        <v>0</v>
      </c>
      <c r="K38" s="343"/>
      <c r="L38" s="344"/>
      <c r="M38" s="343"/>
      <c r="N38" s="340">
        <v>0.95</v>
      </c>
      <c r="O38" s="340">
        <v>1.3</v>
      </c>
      <c r="P38" s="81">
        <f t="shared" si="4"/>
        <v>0</v>
      </c>
    </row>
    <row r="39" spans="1:16" ht="12" customHeight="1">
      <c r="A39" s="590"/>
      <c r="B39" s="340" t="s">
        <v>145</v>
      </c>
      <c r="C39" s="340">
        <v>5</v>
      </c>
      <c r="D39" s="341" t="s">
        <v>37</v>
      </c>
      <c r="E39" s="351"/>
      <c r="F39" s="360"/>
      <c r="G39" s="351"/>
      <c r="H39" s="340">
        <v>1</v>
      </c>
      <c r="I39" s="340">
        <v>1.3</v>
      </c>
      <c r="J39" s="346">
        <f t="shared" si="3"/>
        <v>0</v>
      </c>
      <c r="K39" s="343"/>
      <c r="L39" s="344"/>
      <c r="M39" s="343"/>
      <c r="N39" s="340">
        <v>0.95</v>
      </c>
      <c r="O39" s="340">
        <v>1.3</v>
      </c>
      <c r="P39" s="81">
        <f t="shared" si="4"/>
        <v>0</v>
      </c>
    </row>
    <row r="40" spans="1:16" ht="12" customHeight="1">
      <c r="A40" s="590"/>
      <c r="B40" s="340" t="s">
        <v>142</v>
      </c>
      <c r="C40" s="340">
        <v>6</v>
      </c>
      <c r="D40" s="356" t="s">
        <v>41</v>
      </c>
      <c r="E40" s="351"/>
      <c r="F40" s="360"/>
      <c r="G40" s="351"/>
      <c r="H40" s="340">
        <v>1</v>
      </c>
      <c r="I40" s="340">
        <v>1.3</v>
      </c>
      <c r="J40" s="346">
        <f>+E40*F40*G40*H40*I40</f>
        <v>0</v>
      </c>
      <c r="K40" s="343"/>
      <c r="L40" s="344"/>
      <c r="M40" s="343"/>
      <c r="N40" s="340">
        <v>0.95</v>
      </c>
      <c r="O40" s="340">
        <v>1.3</v>
      </c>
      <c r="P40" s="81">
        <f t="shared" si="4"/>
        <v>0</v>
      </c>
    </row>
    <row r="41" spans="1:16" ht="12" customHeight="1">
      <c r="A41" s="590"/>
      <c r="B41" s="340" t="s">
        <v>146</v>
      </c>
      <c r="C41" s="340">
        <v>7</v>
      </c>
      <c r="D41" s="341" t="s">
        <v>37</v>
      </c>
      <c r="E41" s="351"/>
      <c r="F41" s="360"/>
      <c r="G41" s="351"/>
      <c r="H41" s="340">
        <v>1</v>
      </c>
      <c r="I41" s="340">
        <v>1.3</v>
      </c>
      <c r="J41" s="346">
        <f>+E41*F41*G41*H41*I41</f>
        <v>0</v>
      </c>
      <c r="K41" s="343"/>
      <c r="L41" s="344"/>
      <c r="M41" s="343"/>
      <c r="N41" s="340">
        <v>0.95</v>
      </c>
      <c r="O41" s="340">
        <v>1.3</v>
      </c>
      <c r="P41" s="81">
        <f t="shared" si="4"/>
        <v>0</v>
      </c>
    </row>
    <row r="42" spans="1:16" ht="12" customHeight="1">
      <c r="A42" s="590"/>
      <c r="B42" s="340" t="s">
        <v>143</v>
      </c>
      <c r="C42" s="340">
        <v>8</v>
      </c>
      <c r="D42" s="341" t="s">
        <v>37</v>
      </c>
      <c r="E42" s="351"/>
      <c r="F42" s="360"/>
      <c r="G42" s="351"/>
      <c r="H42" s="340">
        <v>1</v>
      </c>
      <c r="I42" s="340">
        <v>1.3</v>
      </c>
      <c r="J42" s="346">
        <f t="shared" si="3"/>
        <v>0</v>
      </c>
      <c r="K42" s="343"/>
      <c r="L42" s="344"/>
      <c r="M42" s="343"/>
      <c r="N42" s="340">
        <v>0.95</v>
      </c>
      <c r="O42" s="340">
        <v>1.3</v>
      </c>
      <c r="P42" s="81">
        <f t="shared" si="4"/>
        <v>0</v>
      </c>
    </row>
    <row r="43" spans="1:16" ht="12" customHeight="1">
      <c r="A43" s="590"/>
      <c r="B43" s="340" t="s">
        <v>147</v>
      </c>
      <c r="C43" s="340">
        <v>9</v>
      </c>
      <c r="D43" s="341" t="s">
        <v>37</v>
      </c>
      <c r="E43" s="340"/>
      <c r="F43" s="361"/>
      <c r="G43" s="340"/>
      <c r="H43" s="340">
        <v>1</v>
      </c>
      <c r="I43" s="340">
        <v>1.3</v>
      </c>
      <c r="J43" s="346">
        <f t="shared" si="3"/>
        <v>0</v>
      </c>
      <c r="K43" s="343"/>
      <c r="L43" s="344"/>
      <c r="M43" s="343"/>
      <c r="N43" s="340">
        <v>0.95</v>
      </c>
      <c r="O43" s="340">
        <v>1.3</v>
      </c>
      <c r="P43" s="81">
        <f t="shared" si="4"/>
        <v>0</v>
      </c>
    </row>
    <row r="44" spans="1:16" ht="12" customHeight="1">
      <c r="A44" s="590"/>
      <c r="B44" s="340" t="s">
        <v>148</v>
      </c>
      <c r="C44" s="340">
        <v>10</v>
      </c>
      <c r="D44" s="340" t="s">
        <v>44</v>
      </c>
      <c r="E44" s="351"/>
      <c r="F44" s="353"/>
      <c r="G44" s="351"/>
      <c r="H44" s="340">
        <v>1</v>
      </c>
      <c r="I44" s="345">
        <v>1.3</v>
      </c>
      <c r="J44" s="362">
        <f t="shared" si="3"/>
        <v>0</v>
      </c>
      <c r="K44" s="343"/>
      <c r="L44" s="344"/>
      <c r="M44" s="343"/>
      <c r="N44" s="340">
        <v>0.95</v>
      </c>
      <c r="O44" s="340">
        <v>1.3</v>
      </c>
      <c r="P44" s="81">
        <f t="shared" si="4"/>
        <v>0</v>
      </c>
    </row>
    <row r="45" spans="1:16" ht="12" customHeight="1">
      <c r="A45" s="590"/>
      <c r="B45" s="340" t="s">
        <v>149</v>
      </c>
      <c r="C45" s="340">
        <v>11</v>
      </c>
      <c r="D45" s="341" t="s">
        <v>37</v>
      </c>
      <c r="E45" s="351"/>
      <c r="F45" s="351"/>
      <c r="G45" s="351"/>
      <c r="H45" s="340">
        <v>1</v>
      </c>
      <c r="I45" s="340">
        <v>1.3</v>
      </c>
      <c r="J45" s="346">
        <f t="shared" si="3"/>
        <v>0</v>
      </c>
      <c r="K45" s="343"/>
      <c r="L45" s="344"/>
      <c r="M45" s="343"/>
      <c r="N45" s="340">
        <v>0.95</v>
      </c>
      <c r="O45" s="340">
        <v>1.3</v>
      </c>
      <c r="P45" s="81">
        <f t="shared" si="4"/>
        <v>0</v>
      </c>
    </row>
    <row r="46" spans="1:16" ht="12" customHeight="1">
      <c r="A46" s="590"/>
      <c r="B46" s="340" t="s">
        <v>150</v>
      </c>
      <c r="C46" s="340">
        <v>12</v>
      </c>
      <c r="D46" s="340" t="s">
        <v>44</v>
      </c>
      <c r="E46" s="353"/>
      <c r="F46" s="344"/>
      <c r="G46" s="343"/>
      <c r="H46" s="351">
        <v>1</v>
      </c>
      <c r="I46" s="351">
        <v>1.3</v>
      </c>
      <c r="J46" s="362">
        <f t="shared" si="3"/>
        <v>0</v>
      </c>
      <c r="K46" s="343"/>
      <c r="L46" s="344"/>
      <c r="M46" s="343"/>
      <c r="N46" s="340">
        <v>0.95</v>
      </c>
      <c r="O46" s="340">
        <v>1.3</v>
      </c>
      <c r="P46" s="81">
        <f t="shared" si="4"/>
        <v>0</v>
      </c>
    </row>
    <row r="47" spans="1:16" ht="12" customHeight="1">
      <c r="A47" s="590"/>
      <c r="B47" s="340" t="s">
        <v>151</v>
      </c>
      <c r="C47" s="340">
        <v>13</v>
      </c>
      <c r="D47" s="350" t="s">
        <v>40</v>
      </c>
      <c r="E47" s="352"/>
      <c r="F47" s="361"/>
      <c r="G47" s="340"/>
      <c r="H47" s="351">
        <v>1</v>
      </c>
      <c r="I47" s="340">
        <v>1.3</v>
      </c>
      <c r="J47" s="346">
        <f t="shared" ref="J47:J48" si="5">+E47*F47*G47*H47*I47</f>
        <v>0</v>
      </c>
      <c r="K47" s="343"/>
      <c r="L47" s="343"/>
      <c r="M47" s="343"/>
      <c r="N47" s="340">
        <v>0.95</v>
      </c>
      <c r="O47" s="340">
        <v>1.3</v>
      </c>
      <c r="P47" s="81">
        <f t="shared" si="4"/>
        <v>0</v>
      </c>
    </row>
    <row r="48" spans="1:16" ht="12" customHeight="1">
      <c r="A48" s="590"/>
      <c r="B48" s="340" t="s">
        <v>152</v>
      </c>
      <c r="C48" s="340">
        <v>14</v>
      </c>
      <c r="D48" s="350" t="s">
        <v>40</v>
      </c>
      <c r="E48" s="352"/>
      <c r="F48" s="361"/>
      <c r="G48" s="340"/>
      <c r="H48" s="351">
        <v>1</v>
      </c>
      <c r="I48" s="340">
        <v>1.3</v>
      </c>
      <c r="J48" s="346">
        <f t="shared" si="5"/>
        <v>0</v>
      </c>
      <c r="K48" s="343"/>
      <c r="L48" s="343"/>
      <c r="M48" s="343"/>
      <c r="N48" s="340">
        <v>0.95</v>
      </c>
      <c r="O48" s="340">
        <v>1.3</v>
      </c>
      <c r="P48" s="81">
        <f t="shared" si="4"/>
        <v>0</v>
      </c>
    </row>
    <row r="49" spans="1:16" ht="12" customHeight="1">
      <c r="A49" s="590"/>
      <c r="B49" s="340" t="s">
        <v>344</v>
      </c>
      <c r="C49" s="340">
        <v>15</v>
      </c>
      <c r="D49" s="386" t="s">
        <v>46</v>
      </c>
      <c r="E49" s="353"/>
      <c r="F49" s="340"/>
      <c r="G49" s="340"/>
      <c r="H49" s="351">
        <v>1</v>
      </c>
      <c r="I49" s="345">
        <v>1.3</v>
      </c>
      <c r="J49" s="392">
        <f t="shared" ref="J49:J50" si="6">E49*F49*G49*H49*I49</f>
        <v>0</v>
      </c>
      <c r="K49" s="393"/>
      <c r="L49" s="340"/>
      <c r="M49" s="388"/>
      <c r="N49" s="340">
        <v>0.95</v>
      </c>
      <c r="O49" s="340">
        <v>1.3</v>
      </c>
      <c r="P49" s="80">
        <f t="shared" si="4"/>
        <v>0</v>
      </c>
    </row>
    <row r="50" spans="1:16" ht="12" customHeight="1">
      <c r="A50" s="590"/>
      <c r="B50" s="340" t="s">
        <v>345</v>
      </c>
      <c r="C50" s="340">
        <v>16</v>
      </c>
      <c r="D50" s="386" t="s">
        <v>46</v>
      </c>
      <c r="E50" s="353"/>
      <c r="F50" s="340"/>
      <c r="G50" s="340"/>
      <c r="H50" s="351">
        <v>1</v>
      </c>
      <c r="I50" s="395">
        <v>1.3</v>
      </c>
      <c r="J50" s="396">
        <f t="shared" si="6"/>
        <v>0</v>
      </c>
      <c r="K50" s="393"/>
      <c r="L50" s="340"/>
      <c r="M50" s="388"/>
      <c r="N50" s="340">
        <v>0.95</v>
      </c>
      <c r="O50" s="340">
        <v>1.3</v>
      </c>
      <c r="P50" s="80">
        <f t="shared" si="4"/>
        <v>0</v>
      </c>
    </row>
    <row r="51" spans="1:16" ht="12" customHeight="1">
      <c r="A51" s="591"/>
      <c r="B51" s="584" t="s">
        <v>36</v>
      </c>
      <c r="C51" s="584"/>
      <c r="D51" s="584"/>
      <c r="E51" s="358"/>
      <c r="F51" s="359"/>
      <c r="G51" s="339"/>
      <c r="H51" s="339"/>
      <c r="I51" s="339"/>
      <c r="J51" s="346">
        <f>SUM(J35:J50)</f>
        <v>0</v>
      </c>
      <c r="K51" s="307"/>
      <c r="L51" s="346"/>
      <c r="M51" s="346"/>
      <c r="N51" s="346"/>
      <c r="O51" s="346"/>
      <c r="P51" s="81">
        <f>SUM(P35:P50)</f>
        <v>0</v>
      </c>
    </row>
    <row r="52" spans="1:16" ht="12" customHeight="1">
      <c r="A52" s="589" t="s">
        <v>153</v>
      </c>
      <c r="B52" s="340" t="s">
        <v>134</v>
      </c>
      <c r="C52" s="340">
        <v>1</v>
      </c>
      <c r="D52" s="341" t="s">
        <v>37</v>
      </c>
      <c r="E52" s="352"/>
      <c r="F52" s="361"/>
      <c r="G52" s="340"/>
      <c r="H52" s="340">
        <v>1</v>
      </c>
      <c r="I52" s="340">
        <v>1.3</v>
      </c>
      <c r="J52" s="346">
        <f t="shared" ref="J52:J71" si="7">+E52*F52*G52*H52*I52</f>
        <v>0</v>
      </c>
      <c r="K52" s="343"/>
      <c r="L52" s="344"/>
      <c r="M52" s="343"/>
      <c r="N52" s="340">
        <v>0.95</v>
      </c>
      <c r="O52" s="340">
        <v>1.3</v>
      </c>
      <c r="P52" s="81">
        <f t="shared" ref="P52:P71" si="8">+K52*L52*M52*N52*O52</f>
        <v>0</v>
      </c>
    </row>
    <row r="53" spans="1:16" ht="12" customHeight="1">
      <c r="A53" s="590"/>
      <c r="B53" s="340" t="s">
        <v>138</v>
      </c>
      <c r="C53" s="340">
        <v>2</v>
      </c>
      <c r="D53" s="341" t="s">
        <v>37</v>
      </c>
      <c r="E53" s="352"/>
      <c r="F53" s="361"/>
      <c r="G53" s="340"/>
      <c r="H53" s="340">
        <v>1</v>
      </c>
      <c r="I53" s="340">
        <v>1.3</v>
      </c>
      <c r="J53" s="346">
        <f t="shared" si="7"/>
        <v>0</v>
      </c>
      <c r="K53" s="343"/>
      <c r="L53" s="344"/>
      <c r="M53" s="343"/>
      <c r="N53" s="340">
        <v>0.95</v>
      </c>
      <c r="O53" s="340">
        <v>1.3</v>
      </c>
      <c r="P53" s="81">
        <f t="shared" si="8"/>
        <v>0</v>
      </c>
    </row>
    <row r="54" spans="1:16" ht="12" customHeight="1">
      <c r="A54" s="590"/>
      <c r="B54" s="340" t="s">
        <v>141</v>
      </c>
      <c r="C54" s="340">
        <v>3</v>
      </c>
      <c r="D54" s="341" t="s">
        <v>37</v>
      </c>
      <c r="E54" s="352"/>
      <c r="F54" s="361"/>
      <c r="G54" s="340"/>
      <c r="H54" s="340">
        <v>1</v>
      </c>
      <c r="I54" s="340">
        <v>1.3</v>
      </c>
      <c r="J54" s="346">
        <f t="shared" si="7"/>
        <v>0</v>
      </c>
      <c r="K54" s="343"/>
      <c r="L54" s="344"/>
      <c r="M54" s="343"/>
      <c r="N54" s="340">
        <v>0.95</v>
      </c>
      <c r="O54" s="340">
        <v>1.3</v>
      </c>
      <c r="P54" s="81">
        <f t="shared" si="8"/>
        <v>0</v>
      </c>
    </row>
    <row r="55" spans="1:16" ht="12" customHeight="1">
      <c r="A55" s="590"/>
      <c r="B55" s="340" t="s">
        <v>154</v>
      </c>
      <c r="C55" s="340">
        <v>4</v>
      </c>
      <c r="D55" s="341" t="s">
        <v>37</v>
      </c>
      <c r="E55" s="352"/>
      <c r="F55" s="361"/>
      <c r="G55" s="340"/>
      <c r="H55" s="340">
        <v>1</v>
      </c>
      <c r="I55" s="340">
        <v>1.3</v>
      </c>
      <c r="J55" s="268">
        <f t="shared" si="7"/>
        <v>0</v>
      </c>
      <c r="K55" s="343"/>
      <c r="L55" s="344"/>
      <c r="M55" s="343"/>
      <c r="N55" s="340">
        <v>0.95</v>
      </c>
      <c r="O55" s="340">
        <v>1.3</v>
      </c>
      <c r="P55" s="81">
        <f t="shared" si="8"/>
        <v>0</v>
      </c>
    </row>
    <row r="56" spans="1:16" ht="12" customHeight="1">
      <c r="A56" s="590"/>
      <c r="B56" s="340" t="s">
        <v>155</v>
      </c>
      <c r="C56" s="340">
        <v>5</v>
      </c>
      <c r="D56" s="341" t="s">
        <v>37</v>
      </c>
      <c r="E56" s="352"/>
      <c r="F56" s="361"/>
      <c r="G56" s="340"/>
      <c r="H56" s="340">
        <v>1</v>
      </c>
      <c r="I56" s="340">
        <v>1.3</v>
      </c>
      <c r="J56" s="268">
        <f t="shared" si="7"/>
        <v>0</v>
      </c>
      <c r="K56" s="343"/>
      <c r="L56" s="344"/>
      <c r="M56" s="343"/>
      <c r="N56" s="340">
        <v>0.95</v>
      </c>
      <c r="O56" s="340">
        <v>1.3</v>
      </c>
      <c r="P56" s="81">
        <f t="shared" si="8"/>
        <v>0</v>
      </c>
    </row>
    <row r="57" spans="1:16" ht="12" customHeight="1">
      <c r="A57" s="590"/>
      <c r="B57" s="340" t="s">
        <v>156</v>
      </c>
      <c r="C57" s="340">
        <v>6</v>
      </c>
      <c r="D57" s="341" t="s">
        <v>37</v>
      </c>
      <c r="E57" s="352"/>
      <c r="F57" s="361"/>
      <c r="G57" s="340"/>
      <c r="H57" s="340">
        <v>1</v>
      </c>
      <c r="I57" s="340">
        <v>1.3</v>
      </c>
      <c r="J57" s="268">
        <f t="shared" si="7"/>
        <v>0</v>
      </c>
      <c r="K57" s="343"/>
      <c r="L57" s="344"/>
      <c r="M57" s="343"/>
      <c r="N57" s="340">
        <v>0.95</v>
      </c>
      <c r="O57" s="340">
        <v>1.3</v>
      </c>
      <c r="P57" s="81">
        <f t="shared" si="8"/>
        <v>0</v>
      </c>
    </row>
    <row r="58" spans="1:16" ht="12" customHeight="1">
      <c r="A58" s="590"/>
      <c r="B58" s="340" t="s">
        <v>157</v>
      </c>
      <c r="C58" s="340">
        <v>7</v>
      </c>
      <c r="D58" s="341" t="s">
        <v>37</v>
      </c>
      <c r="E58" s="352"/>
      <c r="F58" s="361"/>
      <c r="G58" s="340"/>
      <c r="H58" s="340">
        <v>1</v>
      </c>
      <c r="I58" s="340">
        <v>1.3</v>
      </c>
      <c r="J58" s="268">
        <f t="shared" si="7"/>
        <v>0</v>
      </c>
      <c r="K58" s="343"/>
      <c r="L58" s="344"/>
      <c r="M58" s="343"/>
      <c r="N58" s="340">
        <v>0.95</v>
      </c>
      <c r="O58" s="340">
        <v>1.3</v>
      </c>
      <c r="P58" s="81">
        <f t="shared" si="8"/>
        <v>0</v>
      </c>
    </row>
    <row r="59" spans="1:16" ht="12" customHeight="1">
      <c r="A59" s="590"/>
      <c r="B59" s="340" t="s">
        <v>158</v>
      </c>
      <c r="C59" s="340">
        <v>8</v>
      </c>
      <c r="D59" s="341" t="s">
        <v>37</v>
      </c>
      <c r="E59" s="352"/>
      <c r="F59" s="361"/>
      <c r="G59" s="340"/>
      <c r="H59" s="340">
        <v>1</v>
      </c>
      <c r="I59" s="340">
        <v>1.3</v>
      </c>
      <c r="J59" s="346">
        <f t="shared" si="7"/>
        <v>0</v>
      </c>
      <c r="K59" s="343"/>
      <c r="L59" s="344"/>
      <c r="M59" s="343"/>
      <c r="N59" s="340">
        <v>0.95</v>
      </c>
      <c r="O59" s="340">
        <v>1.3</v>
      </c>
      <c r="P59" s="81">
        <f t="shared" si="8"/>
        <v>0</v>
      </c>
    </row>
    <row r="60" spans="1:16" ht="12" customHeight="1">
      <c r="A60" s="590"/>
      <c r="B60" s="340" t="s">
        <v>159</v>
      </c>
      <c r="C60" s="340">
        <v>9</v>
      </c>
      <c r="D60" s="350" t="s">
        <v>40</v>
      </c>
      <c r="E60" s="352"/>
      <c r="F60" s="340"/>
      <c r="G60" s="340"/>
      <c r="H60" s="340">
        <v>1</v>
      </c>
      <c r="I60" s="340">
        <v>1.3</v>
      </c>
      <c r="J60" s="268">
        <f t="shared" si="7"/>
        <v>0</v>
      </c>
      <c r="K60" s="343"/>
      <c r="L60" s="344"/>
      <c r="M60" s="343"/>
      <c r="N60" s="340">
        <v>0.95</v>
      </c>
      <c r="O60" s="340">
        <v>1.3</v>
      </c>
      <c r="P60" s="81">
        <f t="shared" si="8"/>
        <v>0</v>
      </c>
    </row>
    <row r="61" spans="1:16" ht="12" customHeight="1">
      <c r="A61" s="590"/>
      <c r="B61" s="340" t="s">
        <v>160</v>
      </c>
      <c r="C61" s="340">
        <v>10</v>
      </c>
      <c r="D61" s="350" t="s">
        <v>40</v>
      </c>
      <c r="E61" s="352"/>
      <c r="F61" s="361"/>
      <c r="G61" s="340"/>
      <c r="H61" s="340">
        <v>1</v>
      </c>
      <c r="I61" s="340">
        <v>1.3</v>
      </c>
      <c r="J61" s="268">
        <f t="shared" si="7"/>
        <v>0</v>
      </c>
      <c r="K61" s="343"/>
      <c r="L61" s="344"/>
      <c r="M61" s="343"/>
      <c r="N61" s="340">
        <v>0.95</v>
      </c>
      <c r="O61" s="340">
        <v>1.3</v>
      </c>
      <c r="P61" s="81">
        <f t="shared" si="8"/>
        <v>0</v>
      </c>
    </row>
    <row r="62" spans="1:16" ht="12" customHeight="1">
      <c r="A62" s="590"/>
      <c r="B62" s="340" t="s">
        <v>161</v>
      </c>
      <c r="C62" s="340">
        <v>11</v>
      </c>
      <c r="D62" s="341" t="s">
        <v>37</v>
      </c>
      <c r="E62" s="352"/>
      <c r="F62" s="361"/>
      <c r="G62" s="340"/>
      <c r="H62" s="340">
        <v>1</v>
      </c>
      <c r="I62" s="340">
        <v>1.3</v>
      </c>
      <c r="J62" s="268">
        <f t="shared" si="7"/>
        <v>0</v>
      </c>
      <c r="K62" s="343"/>
      <c r="L62" s="344"/>
      <c r="M62" s="343"/>
      <c r="N62" s="340">
        <v>0.95</v>
      </c>
      <c r="O62" s="340">
        <v>1.3</v>
      </c>
      <c r="P62" s="81">
        <f t="shared" si="8"/>
        <v>0</v>
      </c>
    </row>
    <row r="63" spans="1:16" ht="12" customHeight="1">
      <c r="A63" s="590"/>
      <c r="B63" s="340" t="s">
        <v>162</v>
      </c>
      <c r="C63" s="340">
        <v>12</v>
      </c>
      <c r="D63" s="341" t="s">
        <v>37</v>
      </c>
      <c r="E63" s="353"/>
      <c r="F63" s="360"/>
      <c r="G63" s="351"/>
      <c r="H63" s="340">
        <v>1</v>
      </c>
      <c r="I63" s="351">
        <v>1.3</v>
      </c>
      <c r="J63" s="363">
        <f t="shared" si="7"/>
        <v>0</v>
      </c>
      <c r="K63" s="343"/>
      <c r="L63" s="344"/>
      <c r="M63" s="343"/>
      <c r="N63" s="340">
        <v>0.95</v>
      </c>
      <c r="O63" s="340">
        <v>1.3</v>
      </c>
      <c r="P63" s="81">
        <f t="shared" si="8"/>
        <v>0</v>
      </c>
    </row>
    <row r="64" spans="1:16" ht="12" customHeight="1">
      <c r="A64" s="590"/>
      <c r="B64" s="340" t="s">
        <v>163</v>
      </c>
      <c r="C64" s="340">
        <v>13</v>
      </c>
      <c r="D64" s="356" t="s">
        <v>41</v>
      </c>
      <c r="E64" s="353"/>
      <c r="F64" s="360"/>
      <c r="G64" s="351"/>
      <c r="H64" s="340">
        <v>1</v>
      </c>
      <c r="I64" s="340">
        <v>1.3</v>
      </c>
      <c r="J64" s="363">
        <f t="shared" si="7"/>
        <v>0</v>
      </c>
      <c r="K64" s="343"/>
      <c r="L64" s="344"/>
      <c r="M64" s="343"/>
      <c r="N64" s="340">
        <v>0.95</v>
      </c>
      <c r="O64" s="340">
        <v>1.3</v>
      </c>
      <c r="P64" s="81">
        <f t="shared" si="8"/>
        <v>0</v>
      </c>
    </row>
    <row r="65" spans="1:16" ht="12" customHeight="1">
      <c r="A65" s="590"/>
      <c r="B65" s="340" t="s">
        <v>164</v>
      </c>
      <c r="C65" s="340">
        <v>14</v>
      </c>
      <c r="D65" s="356" t="s">
        <v>41</v>
      </c>
      <c r="E65" s="353"/>
      <c r="F65" s="360"/>
      <c r="G65" s="351"/>
      <c r="H65" s="340">
        <v>1</v>
      </c>
      <c r="I65" s="340">
        <v>1.3</v>
      </c>
      <c r="J65" s="346">
        <f t="shared" si="7"/>
        <v>0</v>
      </c>
      <c r="K65" s="343"/>
      <c r="L65" s="344"/>
      <c r="M65" s="343"/>
      <c r="N65" s="340">
        <v>0.95</v>
      </c>
      <c r="O65" s="340">
        <v>1.3</v>
      </c>
      <c r="P65" s="81">
        <f t="shared" si="8"/>
        <v>0</v>
      </c>
    </row>
    <row r="66" spans="1:16" ht="12" customHeight="1">
      <c r="A66" s="590"/>
      <c r="B66" s="340" t="s">
        <v>165</v>
      </c>
      <c r="C66" s="340">
        <v>15</v>
      </c>
      <c r="D66" s="356" t="s">
        <v>41</v>
      </c>
      <c r="E66" s="352"/>
      <c r="F66" s="361"/>
      <c r="G66" s="340"/>
      <c r="H66" s="340">
        <v>1</v>
      </c>
      <c r="I66" s="340">
        <v>1.3</v>
      </c>
      <c r="J66" s="346">
        <f t="shared" si="7"/>
        <v>0</v>
      </c>
      <c r="K66" s="343"/>
      <c r="L66" s="344"/>
      <c r="M66" s="343"/>
      <c r="N66" s="340">
        <v>0.95</v>
      </c>
      <c r="O66" s="340">
        <v>1.3</v>
      </c>
      <c r="P66" s="81">
        <f t="shared" si="8"/>
        <v>0</v>
      </c>
    </row>
    <row r="67" spans="1:16" ht="12" customHeight="1">
      <c r="A67" s="590"/>
      <c r="B67" s="340" t="s">
        <v>166</v>
      </c>
      <c r="C67" s="340">
        <v>16</v>
      </c>
      <c r="D67" s="356" t="s">
        <v>41</v>
      </c>
      <c r="E67" s="352"/>
      <c r="F67" s="361"/>
      <c r="G67" s="340"/>
      <c r="H67" s="340">
        <v>1</v>
      </c>
      <c r="I67" s="340">
        <v>1.3</v>
      </c>
      <c r="J67" s="346">
        <f t="shared" si="7"/>
        <v>0</v>
      </c>
      <c r="K67" s="343"/>
      <c r="L67" s="344"/>
      <c r="M67" s="343"/>
      <c r="N67" s="340">
        <v>0.95</v>
      </c>
      <c r="O67" s="340">
        <v>1.3</v>
      </c>
      <c r="P67" s="81">
        <f t="shared" si="8"/>
        <v>0</v>
      </c>
    </row>
    <row r="68" spans="1:16" ht="12" customHeight="1">
      <c r="A68" s="590"/>
      <c r="B68" s="340" t="s">
        <v>167</v>
      </c>
      <c r="C68" s="340">
        <v>17</v>
      </c>
      <c r="D68" s="356" t="s">
        <v>41</v>
      </c>
      <c r="E68" s="352"/>
      <c r="F68" s="361"/>
      <c r="G68" s="340"/>
      <c r="H68" s="340">
        <v>1</v>
      </c>
      <c r="I68" s="340">
        <v>1.3</v>
      </c>
      <c r="J68" s="346">
        <f t="shared" si="7"/>
        <v>0</v>
      </c>
      <c r="K68" s="343"/>
      <c r="L68" s="344"/>
      <c r="M68" s="343"/>
      <c r="N68" s="340">
        <v>0.95</v>
      </c>
      <c r="O68" s="340">
        <v>1.3</v>
      </c>
      <c r="P68" s="81">
        <f t="shared" si="8"/>
        <v>0</v>
      </c>
    </row>
    <row r="69" spans="1:16" ht="12" customHeight="1">
      <c r="A69" s="590"/>
      <c r="B69" s="340" t="s">
        <v>168</v>
      </c>
      <c r="C69" s="340">
        <v>18</v>
      </c>
      <c r="D69" s="356" t="s">
        <v>41</v>
      </c>
      <c r="E69" s="352"/>
      <c r="F69" s="361"/>
      <c r="G69" s="340"/>
      <c r="H69" s="340">
        <v>1</v>
      </c>
      <c r="I69" s="340">
        <v>1.3</v>
      </c>
      <c r="J69" s="346">
        <f t="shared" si="7"/>
        <v>0</v>
      </c>
      <c r="K69" s="343"/>
      <c r="L69" s="344"/>
      <c r="M69" s="343"/>
      <c r="N69" s="340">
        <v>0.95</v>
      </c>
      <c r="O69" s="340">
        <v>1.3</v>
      </c>
      <c r="P69" s="81">
        <f t="shared" si="8"/>
        <v>0</v>
      </c>
    </row>
    <row r="70" spans="1:16" ht="12" customHeight="1">
      <c r="A70" s="590"/>
      <c r="B70" s="340" t="s">
        <v>169</v>
      </c>
      <c r="C70" s="340">
        <v>19</v>
      </c>
      <c r="D70" s="356" t="s">
        <v>41</v>
      </c>
      <c r="E70" s="352"/>
      <c r="F70" s="361"/>
      <c r="G70" s="340"/>
      <c r="H70" s="340">
        <v>1</v>
      </c>
      <c r="I70" s="340">
        <v>1.3</v>
      </c>
      <c r="J70" s="346">
        <f t="shared" si="7"/>
        <v>0</v>
      </c>
      <c r="K70" s="343"/>
      <c r="L70" s="344"/>
      <c r="M70" s="343"/>
      <c r="N70" s="340">
        <v>0.95</v>
      </c>
      <c r="O70" s="340">
        <v>1.3</v>
      </c>
      <c r="P70" s="81">
        <f t="shared" si="8"/>
        <v>0</v>
      </c>
    </row>
    <row r="71" spans="1:16" ht="12" customHeight="1">
      <c r="A71" s="590"/>
      <c r="B71" s="340" t="s">
        <v>170</v>
      </c>
      <c r="C71" s="340">
        <v>20</v>
      </c>
      <c r="D71" s="364" t="s">
        <v>44</v>
      </c>
      <c r="E71" s="352"/>
      <c r="F71" s="361"/>
      <c r="G71" s="340"/>
      <c r="H71" s="340">
        <v>1</v>
      </c>
      <c r="I71" s="340">
        <v>1.3</v>
      </c>
      <c r="J71" s="346">
        <f t="shared" si="7"/>
        <v>0</v>
      </c>
      <c r="K71" s="343"/>
      <c r="L71" s="344"/>
      <c r="M71" s="343"/>
      <c r="N71" s="340">
        <v>0.95</v>
      </c>
      <c r="O71" s="340">
        <v>1.3</v>
      </c>
      <c r="P71" s="81">
        <f t="shared" si="8"/>
        <v>0</v>
      </c>
    </row>
    <row r="72" spans="1:16" ht="12" customHeight="1">
      <c r="A72" s="591"/>
      <c r="B72" s="584" t="s">
        <v>36</v>
      </c>
      <c r="C72" s="584"/>
      <c r="D72" s="584"/>
      <c r="E72" s="358"/>
      <c r="F72" s="359"/>
      <c r="G72" s="339"/>
      <c r="H72" s="339"/>
      <c r="I72" s="339"/>
      <c r="J72" s="346">
        <f>SUM(J52:J71)</f>
        <v>0</v>
      </c>
      <c r="K72" s="307"/>
      <c r="L72" s="346"/>
      <c r="M72" s="346"/>
      <c r="N72" s="346"/>
      <c r="O72" s="346"/>
      <c r="P72" s="81">
        <f>SUM(P52:P71)</f>
        <v>0</v>
      </c>
    </row>
    <row r="73" spans="1:16" ht="12" customHeight="1">
      <c r="A73" s="605" t="s">
        <v>171</v>
      </c>
      <c r="B73" s="594"/>
      <c r="C73" s="594"/>
      <c r="D73" s="595"/>
      <c r="E73" s="308"/>
      <c r="F73" s="309"/>
      <c r="G73" s="222"/>
      <c r="H73" s="222"/>
      <c r="I73" s="222"/>
      <c r="J73" s="223">
        <f>SUM(J72,J51,J34)</f>
        <v>780</v>
      </c>
      <c r="K73" s="365"/>
      <c r="L73" s="223"/>
      <c r="M73" s="223"/>
      <c r="N73" s="223"/>
      <c r="O73" s="223"/>
      <c r="P73" s="292">
        <f>SUM(P72,P51,P34)</f>
        <v>741</v>
      </c>
    </row>
    <row r="74" spans="1:16" ht="12" customHeight="1">
      <c r="A74" s="589" t="s">
        <v>38</v>
      </c>
      <c r="B74" s="340" t="s">
        <v>161</v>
      </c>
      <c r="C74" s="340">
        <v>1</v>
      </c>
      <c r="D74" s="356" t="s">
        <v>41</v>
      </c>
      <c r="E74" s="343">
        <v>80</v>
      </c>
      <c r="F74" s="344">
        <v>3</v>
      </c>
      <c r="G74" s="343">
        <v>4</v>
      </c>
      <c r="H74" s="340">
        <v>1</v>
      </c>
      <c r="I74" s="340">
        <v>1.3</v>
      </c>
      <c r="J74" s="347">
        <f t="shared" ref="J74:J92" si="9">+E74*F74*G74*H74*I74</f>
        <v>1248</v>
      </c>
      <c r="K74" s="348">
        <v>80</v>
      </c>
      <c r="L74" s="349">
        <v>3</v>
      </c>
      <c r="M74" s="348">
        <v>4</v>
      </c>
      <c r="N74" s="340">
        <v>0.95</v>
      </c>
      <c r="O74" s="340">
        <v>1.3</v>
      </c>
      <c r="P74" s="188">
        <f t="shared" ref="P74:P99" si="10">+K74*L74*M74*N74*O74</f>
        <v>1185.6000000000001</v>
      </c>
    </row>
    <row r="75" spans="1:16" ht="12" customHeight="1">
      <c r="A75" s="590"/>
      <c r="B75" s="340" t="s">
        <v>172</v>
      </c>
      <c r="C75" s="340">
        <v>2</v>
      </c>
      <c r="D75" s="356" t="s">
        <v>41</v>
      </c>
      <c r="E75" s="340"/>
      <c r="F75" s="366">
        <v>8</v>
      </c>
      <c r="G75" s="340">
        <v>6</v>
      </c>
      <c r="H75" s="340">
        <v>1</v>
      </c>
      <c r="I75" s="340">
        <v>1.3</v>
      </c>
      <c r="J75" s="347">
        <f t="shared" si="9"/>
        <v>0</v>
      </c>
      <c r="K75" s="348"/>
      <c r="L75" s="349">
        <v>8</v>
      </c>
      <c r="M75" s="348">
        <v>6</v>
      </c>
      <c r="N75" s="340">
        <v>0.95</v>
      </c>
      <c r="O75" s="340">
        <v>1.3</v>
      </c>
      <c r="P75" s="188">
        <f t="shared" si="10"/>
        <v>0</v>
      </c>
    </row>
    <row r="76" spans="1:16" ht="12" customHeight="1">
      <c r="A76" s="590"/>
      <c r="B76" s="340" t="s">
        <v>163</v>
      </c>
      <c r="C76" s="340">
        <v>3</v>
      </c>
      <c r="D76" s="356" t="s">
        <v>41</v>
      </c>
      <c r="E76" s="340">
        <v>90</v>
      </c>
      <c r="F76" s="366">
        <v>8</v>
      </c>
      <c r="G76" s="340">
        <v>3</v>
      </c>
      <c r="H76" s="340">
        <v>1</v>
      </c>
      <c r="I76" s="340">
        <v>1.3</v>
      </c>
      <c r="J76" s="346">
        <f t="shared" si="9"/>
        <v>2808</v>
      </c>
      <c r="K76" s="348">
        <v>90</v>
      </c>
      <c r="L76" s="349">
        <v>8</v>
      </c>
      <c r="M76" s="348">
        <v>3</v>
      </c>
      <c r="N76" s="340">
        <v>0.95</v>
      </c>
      <c r="O76" s="340">
        <v>1.3</v>
      </c>
      <c r="P76" s="81">
        <f t="shared" si="10"/>
        <v>2667.6</v>
      </c>
    </row>
    <row r="77" spans="1:16" ht="12" customHeight="1">
      <c r="A77" s="590"/>
      <c r="B77" s="340" t="s">
        <v>173</v>
      </c>
      <c r="C77" s="340">
        <v>4</v>
      </c>
      <c r="D77" s="340" t="s">
        <v>44</v>
      </c>
      <c r="E77" s="352"/>
      <c r="F77" s="344">
        <v>10</v>
      </c>
      <c r="G77" s="340">
        <v>6</v>
      </c>
      <c r="H77" s="340">
        <v>1</v>
      </c>
      <c r="I77" s="340">
        <v>1.3</v>
      </c>
      <c r="J77" s="346">
        <f t="shared" si="9"/>
        <v>0</v>
      </c>
      <c r="K77" s="343"/>
      <c r="L77" s="344">
        <v>10</v>
      </c>
      <c r="M77" s="343">
        <v>6</v>
      </c>
      <c r="N77" s="340">
        <v>0.95</v>
      </c>
      <c r="O77" s="340">
        <v>1.3</v>
      </c>
      <c r="P77" s="81">
        <f t="shared" si="10"/>
        <v>0</v>
      </c>
    </row>
    <row r="78" spans="1:16" ht="12" customHeight="1">
      <c r="A78" s="590"/>
      <c r="B78" s="340" t="s">
        <v>174</v>
      </c>
      <c r="C78" s="340">
        <v>5</v>
      </c>
      <c r="D78" s="340" t="s">
        <v>44</v>
      </c>
      <c r="E78" s="352">
        <v>80</v>
      </c>
      <c r="F78" s="344">
        <v>8</v>
      </c>
      <c r="G78" s="352">
        <v>4</v>
      </c>
      <c r="H78" s="340">
        <v>1</v>
      </c>
      <c r="I78" s="340">
        <v>1.3</v>
      </c>
      <c r="J78" s="346">
        <f t="shared" si="9"/>
        <v>3328</v>
      </c>
      <c r="K78" s="343">
        <v>80</v>
      </c>
      <c r="L78" s="344">
        <v>8</v>
      </c>
      <c r="M78" s="343">
        <v>4</v>
      </c>
      <c r="N78" s="340">
        <v>0.95</v>
      </c>
      <c r="O78" s="340">
        <v>1.3</v>
      </c>
      <c r="P78" s="81">
        <f t="shared" si="10"/>
        <v>3161.6</v>
      </c>
    </row>
    <row r="79" spans="1:16" ht="12" customHeight="1">
      <c r="A79" s="590"/>
      <c r="B79" s="340" t="s">
        <v>175</v>
      </c>
      <c r="C79" s="340">
        <v>6</v>
      </c>
      <c r="D79" s="356" t="s">
        <v>41</v>
      </c>
      <c r="E79" s="352"/>
      <c r="F79" s="344"/>
      <c r="G79" s="340"/>
      <c r="H79" s="340">
        <v>1</v>
      </c>
      <c r="I79" s="340">
        <v>1.3</v>
      </c>
      <c r="J79" s="346">
        <f t="shared" si="9"/>
        <v>0</v>
      </c>
      <c r="K79" s="343"/>
      <c r="L79" s="344"/>
      <c r="M79" s="343"/>
      <c r="N79" s="340">
        <v>0.95</v>
      </c>
      <c r="O79" s="340">
        <v>1.3</v>
      </c>
      <c r="P79" s="81">
        <f t="shared" si="10"/>
        <v>0</v>
      </c>
    </row>
    <row r="80" spans="1:16" ht="12" customHeight="1">
      <c r="A80" s="590"/>
      <c r="B80" s="340" t="s">
        <v>176</v>
      </c>
      <c r="C80" s="340">
        <v>7</v>
      </c>
      <c r="D80" s="356" t="s">
        <v>41</v>
      </c>
      <c r="E80" s="343"/>
      <c r="F80" s="344"/>
      <c r="G80" s="343"/>
      <c r="H80" s="340">
        <v>1</v>
      </c>
      <c r="I80" s="340">
        <v>1.3</v>
      </c>
      <c r="J80" s="346">
        <f t="shared" si="9"/>
        <v>0</v>
      </c>
      <c r="K80" s="343"/>
      <c r="L80" s="344"/>
      <c r="M80" s="343"/>
      <c r="N80" s="340">
        <v>0.95</v>
      </c>
      <c r="O80" s="340">
        <v>1.3</v>
      </c>
      <c r="P80" s="81">
        <f t="shared" si="10"/>
        <v>0</v>
      </c>
    </row>
    <row r="81" spans="1:16" ht="12" customHeight="1">
      <c r="A81" s="590"/>
      <c r="B81" s="340" t="s">
        <v>177</v>
      </c>
      <c r="C81" s="340">
        <v>8</v>
      </c>
      <c r="D81" s="356" t="s">
        <v>41</v>
      </c>
      <c r="E81" s="352"/>
      <c r="F81" s="344"/>
      <c r="G81" s="340"/>
      <c r="H81" s="340">
        <v>1</v>
      </c>
      <c r="I81" s="340">
        <v>1.3</v>
      </c>
      <c r="J81" s="346">
        <f t="shared" si="9"/>
        <v>0</v>
      </c>
      <c r="K81" s="343"/>
      <c r="L81" s="344"/>
      <c r="M81" s="343"/>
      <c r="N81" s="340">
        <v>0.95</v>
      </c>
      <c r="O81" s="340">
        <v>1.3</v>
      </c>
      <c r="P81" s="81">
        <f t="shared" si="10"/>
        <v>0</v>
      </c>
    </row>
    <row r="82" spans="1:16" ht="12" customHeight="1">
      <c r="A82" s="590"/>
      <c r="B82" s="351" t="s">
        <v>178</v>
      </c>
      <c r="C82" s="340">
        <v>9</v>
      </c>
      <c r="D82" s="356" t="s">
        <v>41</v>
      </c>
      <c r="E82" s="352"/>
      <c r="F82" s="344"/>
      <c r="G82" s="340"/>
      <c r="H82" s="340">
        <v>1</v>
      </c>
      <c r="I82" s="340">
        <v>1.3</v>
      </c>
      <c r="J82" s="346">
        <f t="shared" si="9"/>
        <v>0</v>
      </c>
      <c r="K82" s="343"/>
      <c r="L82" s="344"/>
      <c r="M82" s="343"/>
      <c r="N82" s="340">
        <v>0.95</v>
      </c>
      <c r="O82" s="340">
        <v>1.3</v>
      </c>
      <c r="P82" s="81">
        <f t="shared" si="10"/>
        <v>0</v>
      </c>
    </row>
    <row r="83" spans="1:16" ht="12" customHeight="1">
      <c r="A83" s="590"/>
      <c r="B83" s="340" t="s">
        <v>179</v>
      </c>
      <c r="C83" s="340">
        <v>10</v>
      </c>
      <c r="D83" s="356" t="s">
        <v>41</v>
      </c>
      <c r="E83" s="352"/>
      <c r="F83" s="344"/>
      <c r="G83" s="340"/>
      <c r="H83" s="340">
        <v>1</v>
      </c>
      <c r="I83" s="340">
        <v>1.3</v>
      </c>
      <c r="J83" s="346">
        <f t="shared" si="9"/>
        <v>0</v>
      </c>
      <c r="K83" s="343"/>
      <c r="L83" s="344"/>
      <c r="M83" s="343"/>
      <c r="N83" s="340">
        <v>0.95</v>
      </c>
      <c r="O83" s="340">
        <v>1.3</v>
      </c>
      <c r="P83" s="81">
        <f t="shared" si="10"/>
        <v>0</v>
      </c>
    </row>
    <row r="84" spans="1:16" ht="12" customHeight="1">
      <c r="A84" s="590"/>
      <c r="B84" s="340" t="s">
        <v>167</v>
      </c>
      <c r="C84" s="340">
        <v>11</v>
      </c>
      <c r="D84" s="356" t="s">
        <v>41</v>
      </c>
      <c r="E84" s="340"/>
      <c r="F84" s="361"/>
      <c r="G84" s="340"/>
      <c r="H84" s="340">
        <v>1</v>
      </c>
      <c r="I84" s="340">
        <v>1.3</v>
      </c>
      <c r="J84" s="346">
        <f t="shared" si="9"/>
        <v>0</v>
      </c>
      <c r="K84" s="343"/>
      <c r="L84" s="344"/>
      <c r="M84" s="343"/>
      <c r="N84" s="340">
        <v>0.95</v>
      </c>
      <c r="O84" s="340">
        <v>1.3</v>
      </c>
      <c r="P84" s="81">
        <f t="shared" si="10"/>
        <v>0</v>
      </c>
    </row>
    <row r="85" spans="1:16" ht="12" customHeight="1">
      <c r="A85" s="590"/>
      <c r="B85" s="340" t="s">
        <v>180</v>
      </c>
      <c r="C85" s="340">
        <v>12</v>
      </c>
      <c r="D85" s="340" t="s">
        <v>44</v>
      </c>
      <c r="E85" s="340"/>
      <c r="F85" s="344"/>
      <c r="G85" s="343"/>
      <c r="H85" s="340">
        <v>1</v>
      </c>
      <c r="I85" s="340">
        <v>1.3</v>
      </c>
      <c r="J85" s="346">
        <f t="shared" si="9"/>
        <v>0</v>
      </c>
      <c r="K85" s="343"/>
      <c r="L85" s="344"/>
      <c r="M85" s="343"/>
      <c r="N85" s="340">
        <v>0.95</v>
      </c>
      <c r="O85" s="340">
        <v>1.3</v>
      </c>
      <c r="P85" s="81">
        <f t="shared" si="10"/>
        <v>0</v>
      </c>
    </row>
    <row r="86" spans="1:16" ht="12" customHeight="1">
      <c r="A86" s="590"/>
      <c r="B86" s="340" t="s">
        <v>181</v>
      </c>
      <c r="C86" s="340">
        <v>13</v>
      </c>
      <c r="D86" s="356" t="s">
        <v>41</v>
      </c>
      <c r="E86" s="340"/>
      <c r="F86" s="344"/>
      <c r="G86" s="340"/>
      <c r="H86" s="340">
        <v>1</v>
      </c>
      <c r="I86" s="340">
        <v>1.3</v>
      </c>
      <c r="J86" s="346">
        <f t="shared" si="9"/>
        <v>0</v>
      </c>
      <c r="K86" s="343"/>
      <c r="L86" s="344"/>
      <c r="M86" s="343"/>
      <c r="N86" s="340">
        <v>0.95</v>
      </c>
      <c r="O86" s="340">
        <v>1.3</v>
      </c>
      <c r="P86" s="81">
        <f t="shared" si="10"/>
        <v>0</v>
      </c>
    </row>
    <row r="87" spans="1:16" ht="12" customHeight="1">
      <c r="A87" s="590"/>
      <c r="B87" s="340" t="s">
        <v>182</v>
      </c>
      <c r="C87" s="340">
        <v>14</v>
      </c>
      <c r="D87" s="340" t="s">
        <v>44</v>
      </c>
      <c r="E87" s="340"/>
      <c r="F87" s="344"/>
      <c r="G87" s="340"/>
      <c r="H87" s="340">
        <v>1</v>
      </c>
      <c r="I87" s="340">
        <v>1.3</v>
      </c>
      <c r="J87" s="346">
        <f t="shared" si="9"/>
        <v>0</v>
      </c>
      <c r="K87" s="343"/>
      <c r="L87" s="344"/>
      <c r="M87" s="343"/>
      <c r="N87" s="340">
        <v>0.95</v>
      </c>
      <c r="O87" s="340">
        <v>1.3</v>
      </c>
      <c r="P87" s="81">
        <f t="shared" si="10"/>
        <v>0</v>
      </c>
    </row>
    <row r="88" spans="1:16" ht="12" customHeight="1">
      <c r="A88" s="590"/>
      <c r="B88" s="340" t="s">
        <v>183</v>
      </c>
      <c r="C88" s="340">
        <v>15</v>
      </c>
      <c r="D88" s="340" t="s">
        <v>44</v>
      </c>
      <c r="E88" s="340"/>
      <c r="F88" s="344"/>
      <c r="G88" s="340"/>
      <c r="H88" s="340">
        <v>1</v>
      </c>
      <c r="I88" s="340">
        <v>1.3</v>
      </c>
      <c r="J88" s="346">
        <f t="shared" si="9"/>
        <v>0</v>
      </c>
      <c r="K88" s="343"/>
      <c r="L88" s="344"/>
      <c r="M88" s="343"/>
      <c r="N88" s="340">
        <v>0.95</v>
      </c>
      <c r="O88" s="340">
        <v>1.3</v>
      </c>
      <c r="P88" s="81">
        <f t="shared" si="10"/>
        <v>0</v>
      </c>
    </row>
    <row r="89" spans="1:16" ht="12" customHeight="1">
      <c r="A89" s="590"/>
      <c r="B89" s="340" t="s">
        <v>184</v>
      </c>
      <c r="C89" s="340">
        <v>16</v>
      </c>
      <c r="D89" s="340" t="s">
        <v>44</v>
      </c>
      <c r="E89" s="340"/>
      <c r="F89" s="361"/>
      <c r="G89" s="340"/>
      <c r="H89" s="340">
        <v>1</v>
      </c>
      <c r="I89" s="340">
        <v>1.3</v>
      </c>
      <c r="J89" s="346">
        <f t="shared" si="9"/>
        <v>0</v>
      </c>
      <c r="K89" s="343"/>
      <c r="L89" s="344"/>
      <c r="M89" s="343"/>
      <c r="N89" s="340">
        <v>0.95</v>
      </c>
      <c r="O89" s="340">
        <v>1.3</v>
      </c>
      <c r="P89" s="81">
        <f t="shared" si="10"/>
        <v>0</v>
      </c>
    </row>
    <row r="90" spans="1:16" ht="12" customHeight="1">
      <c r="A90" s="590"/>
      <c r="B90" s="340" t="s">
        <v>185</v>
      </c>
      <c r="C90" s="340">
        <v>17</v>
      </c>
      <c r="D90" s="340" t="s">
        <v>44</v>
      </c>
      <c r="E90" s="340"/>
      <c r="F90" s="361"/>
      <c r="G90" s="340"/>
      <c r="H90" s="340">
        <v>1</v>
      </c>
      <c r="I90" s="340">
        <v>1.3</v>
      </c>
      <c r="J90" s="346">
        <f t="shared" si="9"/>
        <v>0</v>
      </c>
      <c r="K90" s="343"/>
      <c r="L90" s="344"/>
      <c r="M90" s="343"/>
      <c r="N90" s="340">
        <v>0.95</v>
      </c>
      <c r="O90" s="340">
        <v>1.3</v>
      </c>
      <c r="P90" s="81">
        <f t="shared" si="10"/>
        <v>0</v>
      </c>
    </row>
    <row r="91" spans="1:16" ht="12" customHeight="1">
      <c r="A91" s="590"/>
      <c r="B91" s="340" t="s">
        <v>186</v>
      </c>
      <c r="C91" s="340">
        <v>18</v>
      </c>
      <c r="D91" s="340" t="s">
        <v>44</v>
      </c>
      <c r="E91" s="340"/>
      <c r="F91" s="361"/>
      <c r="G91" s="340"/>
      <c r="H91" s="340">
        <v>1</v>
      </c>
      <c r="I91" s="340">
        <v>1.3</v>
      </c>
      <c r="J91" s="346">
        <f t="shared" si="9"/>
        <v>0</v>
      </c>
      <c r="K91" s="343"/>
      <c r="L91" s="344"/>
      <c r="M91" s="343"/>
      <c r="N91" s="340">
        <v>0.95</v>
      </c>
      <c r="O91" s="340">
        <v>1.3</v>
      </c>
      <c r="P91" s="81">
        <f t="shared" si="10"/>
        <v>0</v>
      </c>
    </row>
    <row r="92" spans="1:16" ht="12" customHeight="1">
      <c r="A92" s="590"/>
      <c r="B92" s="340" t="s">
        <v>187</v>
      </c>
      <c r="C92" s="340">
        <v>19</v>
      </c>
      <c r="D92" s="340" t="s">
        <v>44</v>
      </c>
      <c r="E92" s="340"/>
      <c r="F92" s="361"/>
      <c r="G92" s="340"/>
      <c r="H92" s="340">
        <v>1</v>
      </c>
      <c r="I92" s="340">
        <v>1.3</v>
      </c>
      <c r="J92" s="346">
        <f t="shared" si="9"/>
        <v>0</v>
      </c>
      <c r="K92" s="343"/>
      <c r="L92" s="344"/>
      <c r="M92" s="343"/>
      <c r="N92" s="340">
        <v>0.95</v>
      </c>
      <c r="O92" s="340">
        <v>1.3</v>
      </c>
      <c r="P92" s="81">
        <f t="shared" si="10"/>
        <v>0</v>
      </c>
    </row>
    <row r="93" spans="1:16" ht="12" customHeight="1">
      <c r="A93" s="590"/>
      <c r="B93" s="340" t="s">
        <v>188</v>
      </c>
      <c r="C93" s="340">
        <v>20</v>
      </c>
      <c r="D93" s="340" t="s">
        <v>44</v>
      </c>
      <c r="E93" s="352"/>
      <c r="F93" s="361"/>
      <c r="G93" s="340"/>
      <c r="H93" s="340">
        <v>1</v>
      </c>
      <c r="I93" s="340">
        <v>1.3</v>
      </c>
      <c r="J93" s="346">
        <f t="shared" ref="J93:J99" si="11">+E93*F93*G93*H93*I93</f>
        <v>0</v>
      </c>
      <c r="K93" s="343"/>
      <c r="L93" s="344"/>
      <c r="M93" s="343"/>
      <c r="N93" s="340">
        <v>0.95</v>
      </c>
      <c r="O93" s="340">
        <v>1.3</v>
      </c>
      <c r="P93" s="81">
        <f t="shared" si="10"/>
        <v>0</v>
      </c>
    </row>
    <row r="94" spans="1:16" ht="12" customHeight="1">
      <c r="A94" s="590"/>
      <c r="B94" s="340" t="s">
        <v>189</v>
      </c>
      <c r="C94" s="340">
        <v>21</v>
      </c>
      <c r="D94" s="340" t="s">
        <v>44</v>
      </c>
      <c r="E94" s="352"/>
      <c r="F94" s="361"/>
      <c r="G94" s="340"/>
      <c r="H94" s="340">
        <v>1</v>
      </c>
      <c r="I94" s="340">
        <v>1.3</v>
      </c>
      <c r="J94" s="346">
        <f>+E94*F94*G94*H94*I94</f>
        <v>0</v>
      </c>
      <c r="K94" s="343"/>
      <c r="L94" s="344"/>
      <c r="M94" s="343"/>
      <c r="N94" s="340">
        <v>0.95</v>
      </c>
      <c r="O94" s="340">
        <v>1.3</v>
      </c>
      <c r="P94" s="81">
        <f t="shared" si="10"/>
        <v>0</v>
      </c>
    </row>
    <row r="95" spans="1:16" ht="12" customHeight="1">
      <c r="A95" s="590"/>
      <c r="B95" s="340" t="s">
        <v>190</v>
      </c>
      <c r="C95" s="340">
        <v>22</v>
      </c>
      <c r="D95" s="340" t="s">
        <v>44</v>
      </c>
      <c r="E95" s="352"/>
      <c r="F95" s="361"/>
      <c r="G95" s="340"/>
      <c r="H95" s="340">
        <v>1</v>
      </c>
      <c r="I95" s="340">
        <v>1.3</v>
      </c>
      <c r="J95" s="346">
        <f t="shared" si="11"/>
        <v>0</v>
      </c>
      <c r="K95" s="343"/>
      <c r="L95" s="344"/>
      <c r="M95" s="343"/>
      <c r="N95" s="340">
        <v>0.95</v>
      </c>
      <c r="O95" s="340">
        <v>1.3</v>
      </c>
      <c r="P95" s="81">
        <f t="shared" si="10"/>
        <v>0</v>
      </c>
    </row>
    <row r="96" spans="1:16" ht="12" customHeight="1">
      <c r="A96" s="590"/>
      <c r="B96" s="340" t="s">
        <v>191</v>
      </c>
      <c r="C96" s="340">
        <v>23</v>
      </c>
      <c r="D96" s="340" t="s">
        <v>44</v>
      </c>
      <c r="E96" s="352"/>
      <c r="F96" s="361"/>
      <c r="G96" s="340"/>
      <c r="H96" s="340">
        <v>1</v>
      </c>
      <c r="I96" s="340">
        <v>1.3</v>
      </c>
      <c r="J96" s="346">
        <f t="shared" si="11"/>
        <v>0</v>
      </c>
      <c r="K96" s="343"/>
      <c r="L96" s="344"/>
      <c r="M96" s="343"/>
      <c r="N96" s="340">
        <v>0.95</v>
      </c>
      <c r="O96" s="340">
        <v>1.3</v>
      </c>
      <c r="P96" s="81">
        <f t="shared" si="10"/>
        <v>0</v>
      </c>
    </row>
    <row r="97" spans="1:16" ht="12" customHeight="1">
      <c r="A97" s="590"/>
      <c r="B97" s="340" t="s">
        <v>192</v>
      </c>
      <c r="C97" s="340">
        <v>24</v>
      </c>
      <c r="D97" s="340" t="s">
        <v>44</v>
      </c>
      <c r="E97" s="352"/>
      <c r="F97" s="361"/>
      <c r="G97" s="340"/>
      <c r="H97" s="340">
        <v>1</v>
      </c>
      <c r="I97" s="340">
        <v>1.3</v>
      </c>
      <c r="J97" s="346">
        <f t="shared" si="11"/>
        <v>0</v>
      </c>
      <c r="K97" s="343"/>
      <c r="L97" s="344"/>
      <c r="M97" s="343"/>
      <c r="N97" s="340">
        <v>0.95</v>
      </c>
      <c r="O97" s="340">
        <v>1.3</v>
      </c>
      <c r="P97" s="81">
        <f t="shared" si="10"/>
        <v>0</v>
      </c>
    </row>
    <row r="98" spans="1:16" ht="12" customHeight="1">
      <c r="A98" s="590"/>
      <c r="B98" s="340" t="s">
        <v>193</v>
      </c>
      <c r="C98" s="340">
        <v>25</v>
      </c>
      <c r="D98" s="340" t="s">
        <v>44</v>
      </c>
      <c r="E98" s="352"/>
      <c r="F98" s="344"/>
      <c r="G98" s="340"/>
      <c r="H98" s="340">
        <v>1</v>
      </c>
      <c r="I98" s="340">
        <v>1.3</v>
      </c>
      <c r="J98" s="346">
        <f>+E98*F98*G98*H98*I98</f>
        <v>0</v>
      </c>
      <c r="K98" s="343"/>
      <c r="L98" s="344"/>
      <c r="M98" s="343"/>
      <c r="N98" s="340">
        <v>0.95</v>
      </c>
      <c r="O98" s="340">
        <v>1.3</v>
      </c>
      <c r="P98" s="81">
        <f t="shared" si="10"/>
        <v>0</v>
      </c>
    </row>
    <row r="99" spans="1:16" ht="12" customHeight="1">
      <c r="A99" s="590"/>
      <c r="B99" s="340" t="s">
        <v>194</v>
      </c>
      <c r="C99" s="340">
        <v>26</v>
      </c>
      <c r="D99" s="340" t="s">
        <v>44</v>
      </c>
      <c r="E99" s="352"/>
      <c r="F99" s="361"/>
      <c r="G99" s="340"/>
      <c r="H99" s="340">
        <v>1</v>
      </c>
      <c r="I99" s="340">
        <v>1.3</v>
      </c>
      <c r="J99" s="346">
        <f t="shared" si="11"/>
        <v>0</v>
      </c>
      <c r="K99" s="343"/>
      <c r="L99" s="344"/>
      <c r="M99" s="343"/>
      <c r="N99" s="340">
        <v>0.95</v>
      </c>
      <c r="O99" s="340">
        <v>1.3</v>
      </c>
      <c r="P99" s="81">
        <f t="shared" si="10"/>
        <v>0</v>
      </c>
    </row>
    <row r="100" spans="1:16" ht="12" customHeight="1">
      <c r="A100" s="590"/>
      <c r="B100" s="340"/>
      <c r="C100" s="340"/>
      <c r="D100" s="340"/>
      <c r="E100" s="352"/>
      <c r="F100" s="361"/>
      <c r="G100" s="340"/>
      <c r="H100" s="340"/>
      <c r="I100" s="340"/>
      <c r="J100" s="367"/>
      <c r="K100" s="343"/>
      <c r="L100" s="344"/>
      <c r="M100" s="343"/>
      <c r="N100" s="340"/>
      <c r="O100" s="340"/>
      <c r="P100" s="276">
        <f>J100*0.95</f>
        <v>0</v>
      </c>
    </row>
    <row r="101" spans="1:16" ht="12" customHeight="1">
      <c r="A101" s="591"/>
      <c r="B101" s="593" t="s">
        <v>36</v>
      </c>
      <c r="C101" s="594"/>
      <c r="D101" s="595"/>
      <c r="E101" s="352"/>
      <c r="F101" s="361"/>
      <c r="G101" s="340"/>
      <c r="H101" s="340"/>
      <c r="I101" s="340"/>
      <c r="J101" s="346">
        <f>SUM(J74:J100)</f>
        <v>7384</v>
      </c>
      <c r="K101" s="340"/>
      <c r="L101" s="361"/>
      <c r="M101" s="340"/>
      <c r="N101" s="340"/>
      <c r="O101" s="340"/>
      <c r="P101" s="81">
        <f>SUM(P74:P100)</f>
        <v>7014.7999999999993</v>
      </c>
    </row>
    <row r="102" spans="1:16" ht="12" customHeight="1">
      <c r="A102" s="605" t="s">
        <v>195</v>
      </c>
      <c r="B102" s="594"/>
      <c r="C102" s="594"/>
      <c r="D102" s="595"/>
      <c r="E102" s="308"/>
      <c r="F102" s="309"/>
      <c r="G102" s="222"/>
      <c r="H102" s="222"/>
      <c r="I102" s="222"/>
      <c r="J102" s="223">
        <f>J101</f>
        <v>7384</v>
      </c>
      <c r="K102" s="365"/>
      <c r="L102" s="223"/>
      <c r="M102" s="223"/>
      <c r="N102" s="223"/>
      <c r="O102" s="223"/>
      <c r="P102" s="292">
        <f>P101</f>
        <v>7014.7999999999993</v>
      </c>
    </row>
    <row r="103" spans="1:16" ht="12" customHeight="1">
      <c r="A103" s="589" t="s">
        <v>196</v>
      </c>
      <c r="B103" s="350" t="s">
        <v>141</v>
      </c>
      <c r="C103" s="340">
        <v>1</v>
      </c>
      <c r="D103" s="350" t="s">
        <v>40</v>
      </c>
      <c r="E103" s="352"/>
      <c r="F103" s="343"/>
      <c r="G103" s="352"/>
      <c r="H103" s="340">
        <v>1</v>
      </c>
      <c r="I103" s="340">
        <v>1.3</v>
      </c>
      <c r="J103" s="346">
        <f>+E103*F103*G103*H103*I103</f>
        <v>0</v>
      </c>
      <c r="K103" s="343"/>
      <c r="L103" s="344"/>
      <c r="M103" s="343"/>
      <c r="N103" s="340">
        <v>0.95</v>
      </c>
      <c r="O103" s="351">
        <v>1.3</v>
      </c>
      <c r="P103" s="79">
        <f>+K103*L103*M103*N103*O103</f>
        <v>0</v>
      </c>
    </row>
    <row r="104" spans="1:16" ht="12" customHeight="1">
      <c r="A104" s="590"/>
      <c r="B104" s="350" t="s">
        <v>168</v>
      </c>
      <c r="C104" s="340">
        <v>2</v>
      </c>
      <c r="D104" s="356" t="s">
        <v>41</v>
      </c>
      <c r="E104" s="352"/>
      <c r="F104" s="361"/>
      <c r="G104" s="340"/>
      <c r="H104" s="340">
        <v>1</v>
      </c>
      <c r="I104" s="340">
        <v>1.3</v>
      </c>
      <c r="J104" s="346">
        <f>+E104*F104*G104*H104*I104</f>
        <v>0</v>
      </c>
      <c r="K104" s="343"/>
      <c r="L104" s="344"/>
      <c r="M104" s="343"/>
      <c r="N104" s="340">
        <v>0.95</v>
      </c>
      <c r="O104" s="351">
        <v>1.3</v>
      </c>
      <c r="P104" s="79">
        <f>+K104*L104*M104*N104*O104</f>
        <v>0</v>
      </c>
    </row>
    <row r="105" spans="1:16" ht="12" customHeight="1">
      <c r="A105" s="591"/>
      <c r="B105" s="593" t="s">
        <v>36</v>
      </c>
      <c r="C105" s="594"/>
      <c r="D105" s="595"/>
      <c r="E105" s="262"/>
      <c r="F105" s="231"/>
      <c r="G105" s="232"/>
      <c r="H105" s="232"/>
      <c r="I105" s="232"/>
      <c r="J105" s="346">
        <f>SUM(J103:J104)</f>
        <v>0</v>
      </c>
      <c r="K105" s="368"/>
      <c r="L105" s="231"/>
      <c r="M105" s="346"/>
      <c r="N105" s="346"/>
      <c r="O105" s="346"/>
      <c r="P105" s="81">
        <f>SUM(P103:P104)</f>
        <v>0</v>
      </c>
    </row>
    <row r="106" spans="1:16" ht="12" customHeight="1">
      <c r="A106" s="589" t="s">
        <v>197</v>
      </c>
      <c r="B106" s="350" t="s">
        <v>138</v>
      </c>
      <c r="C106" s="340">
        <v>1</v>
      </c>
      <c r="D106" s="350" t="s">
        <v>40</v>
      </c>
      <c r="E106" s="352"/>
      <c r="F106" s="361"/>
      <c r="G106" s="340"/>
      <c r="H106" s="340">
        <v>1</v>
      </c>
      <c r="I106" s="340">
        <v>1.3</v>
      </c>
      <c r="J106" s="346">
        <f t="shared" ref="J106:J112" si="12">+E106*F106*G106*H106*I106</f>
        <v>0</v>
      </c>
      <c r="K106" s="343"/>
      <c r="L106" s="344"/>
      <c r="M106" s="343"/>
      <c r="N106" s="340">
        <v>0.95</v>
      </c>
      <c r="O106" s="351">
        <v>1.3</v>
      </c>
      <c r="P106" s="79">
        <f t="shared" ref="P106:P111" si="13">+K106*L106*M106*N106*O106</f>
        <v>0</v>
      </c>
    </row>
    <row r="107" spans="1:16" ht="12" customHeight="1">
      <c r="A107" s="590"/>
      <c r="B107" s="350" t="s">
        <v>141</v>
      </c>
      <c r="C107" s="340">
        <v>2</v>
      </c>
      <c r="D107" s="356" t="s">
        <v>41</v>
      </c>
      <c r="E107" s="343"/>
      <c r="F107" s="344"/>
      <c r="G107" s="343"/>
      <c r="H107" s="340">
        <v>1</v>
      </c>
      <c r="I107" s="340">
        <v>1.3</v>
      </c>
      <c r="J107" s="346">
        <f t="shared" si="12"/>
        <v>0</v>
      </c>
      <c r="K107" s="343"/>
      <c r="L107" s="344"/>
      <c r="M107" s="343"/>
      <c r="N107" s="340">
        <v>0.95</v>
      </c>
      <c r="O107" s="351">
        <v>1.3</v>
      </c>
      <c r="P107" s="79">
        <f t="shared" si="13"/>
        <v>0</v>
      </c>
    </row>
    <row r="108" spans="1:16" ht="12" customHeight="1">
      <c r="A108" s="590"/>
      <c r="B108" s="350" t="s">
        <v>154</v>
      </c>
      <c r="C108" s="340">
        <v>3</v>
      </c>
      <c r="D108" s="340" t="s">
        <v>44</v>
      </c>
      <c r="E108" s="352"/>
      <c r="F108" s="361"/>
      <c r="G108" s="340"/>
      <c r="H108" s="340">
        <v>1</v>
      </c>
      <c r="I108" s="340">
        <v>1.3</v>
      </c>
      <c r="J108" s="346">
        <f t="shared" si="12"/>
        <v>0</v>
      </c>
      <c r="K108" s="343"/>
      <c r="L108" s="344"/>
      <c r="M108" s="343"/>
      <c r="N108" s="340">
        <v>0.95</v>
      </c>
      <c r="O108" s="351">
        <v>1.3</v>
      </c>
      <c r="P108" s="79">
        <f t="shared" si="13"/>
        <v>0</v>
      </c>
    </row>
    <row r="109" spans="1:16" ht="12" customHeight="1">
      <c r="A109" s="590"/>
      <c r="B109" s="350" t="s">
        <v>155</v>
      </c>
      <c r="C109" s="340">
        <v>4</v>
      </c>
      <c r="D109" s="356" t="s">
        <v>41</v>
      </c>
      <c r="E109" s="343"/>
      <c r="F109" s="344"/>
      <c r="G109" s="343"/>
      <c r="H109" s="340">
        <v>1</v>
      </c>
      <c r="I109" s="340">
        <v>1.3</v>
      </c>
      <c r="J109" s="346">
        <f t="shared" si="12"/>
        <v>0</v>
      </c>
      <c r="K109" s="343"/>
      <c r="L109" s="344"/>
      <c r="M109" s="343"/>
      <c r="N109" s="340">
        <v>0.95</v>
      </c>
      <c r="O109" s="340">
        <v>1.3</v>
      </c>
      <c r="P109" s="81">
        <f t="shared" si="13"/>
        <v>0</v>
      </c>
    </row>
    <row r="110" spans="1:16" ht="12" customHeight="1">
      <c r="A110" s="590"/>
      <c r="B110" s="350" t="s">
        <v>158</v>
      </c>
      <c r="C110" s="340">
        <v>5</v>
      </c>
      <c r="D110" s="356" t="s">
        <v>41</v>
      </c>
      <c r="E110" s="352"/>
      <c r="F110" s="361"/>
      <c r="G110" s="340"/>
      <c r="H110" s="340">
        <v>1</v>
      </c>
      <c r="I110" s="340">
        <v>1.3</v>
      </c>
      <c r="J110" s="346">
        <f t="shared" si="12"/>
        <v>0</v>
      </c>
      <c r="K110" s="343"/>
      <c r="L110" s="344"/>
      <c r="M110" s="343"/>
      <c r="N110" s="340">
        <v>0.95</v>
      </c>
      <c r="O110" s="340">
        <v>1.3</v>
      </c>
      <c r="P110" s="81">
        <f t="shared" si="13"/>
        <v>0</v>
      </c>
    </row>
    <row r="111" spans="1:16" ht="12" customHeight="1">
      <c r="A111" s="590"/>
      <c r="B111" s="350" t="s">
        <v>164</v>
      </c>
      <c r="C111" s="340">
        <v>6</v>
      </c>
      <c r="D111" s="340" t="s">
        <v>44</v>
      </c>
      <c r="E111" s="352"/>
      <c r="F111" s="361"/>
      <c r="G111" s="340"/>
      <c r="H111" s="340">
        <v>1</v>
      </c>
      <c r="I111" s="340">
        <v>1.3</v>
      </c>
      <c r="J111" s="346">
        <f t="shared" si="12"/>
        <v>0</v>
      </c>
      <c r="K111" s="343"/>
      <c r="L111" s="344"/>
      <c r="M111" s="343"/>
      <c r="N111" s="340">
        <v>0.95</v>
      </c>
      <c r="O111" s="340">
        <v>1.3</v>
      </c>
      <c r="P111" s="81">
        <f t="shared" si="13"/>
        <v>0</v>
      </c>
    </row>
    <row r="112" spans="1:16" ht="12" customHeight="1">
      <c r="A112" s="590"/>
      <c r="B112" s="350" t="s">
        <v>166</v>
      </c>
      <c r="C112" s="340">
        <v>7</v>
      </c>
      <c r="D112" s="340" t="s">
        <v>44</v>
      </c>
      <c r="E112" s="352"/>
      <c r="F112" s="361"/>
      <c r="G112" s="340"/>
      <c r="H112" s="340">
        <v>1</v>
      </c>
      <c r="I112" s="340">
        <v>1.3</v>
      </c>
      <c r="J112" s="346">
        <f t="shared" si="12"/>
        <v>0</v>
      </c>
      <c r="K112" s="343"/>
      <c r="L112" s="344"/>
      <c r="M112" s="343"/>
      <c r="N112" s="340">
        <v>0.95</v>
      </c>
      <c r="O112" s="340">
        <v>1.3</v>
      </c>
      <c r="P112" s="81"/>
    </row>
    <row r="113" spans="1:16" ht="12" customHeight="1">
      <c r="A113" s="590"/>
      <c r="B113" s="350" t="s">
        <v>168</v>
      </c>
      <c r="C113" s="340">
        <v>8</v>
      </c>
      <c r="D113" s="340" t="s">
        <v>44</v>
      </c>
      <c r="E113" s="352"/>
      <c r="F113" s="361"/>
      <c r="G113" s="340"/>
      <c r="H113" s="340">
        <v>1</v>
      </c>
      <c r="I113" s="340">
        <v>1.3</v>
      </c>
      <c r="J113" s="346">
        <f>+E113*F113*G113*H113*I113</f>
        <v>0</v>
      </c>
      <c r="K113" s="343"/>
      <c r="L113" s="344"/>
      <c r="M113" s="343"/>
      <c r="N113" s="340">
        <v>0.95</v>
      </c>
      <c r="O113" s="340">
        <v>1.3</v>
      </c>
      <c r="P113" s="81">
        <f>+K113*L113*M113*N113*O113</f>
        <v>0</v>
      </c>
    </row>
    <row r="114" spans="1:16" ht="12" customHeight="1">
      <c r="A114" s="590"/>
      <c r="B114" s="350" t="s">
        <v>170</v>
      </c>
      <c r="C114" s="340">
        <v>9</v>
      </c>
      <c r="D114" s="340" t="s">
        <v>44</v>
      </c>
      <c r="E114" s="352"/>
      <c r="F114" s="361"/>
      <c r="G114" s="340"/>
      <c r="H114" s="340">
        <v>1</v>
      </c>
      <c r="I114" s="340">
        <v>1.3</v>
      </c>
      <c r="J114" s="347">
        <f>+E114*F114*G114*H114*I114</f>
        <v>0</v>
      </c>
      <c r="K114" s="348"/>
      <c r="L114" s="349"/>
      <c r="M114" s="348"/>
      <c r="N114" s="340">
        <v>0.95</v>
      </c>
      <c r="O114" s="340">
        <v>1.3</v>
      </c>
      <c r="P114" s="188">
        <f>+K114*L114*M114*N114*O114</f>
        <v>0</v>
      </c>
    </row>
    <row r="115" spans="1:16" ht="12" customHeight="1">
      <c r="A115" s="590"/>
      <c r="B115" s="350" t="s">
        <v>198</v>
      </c>
      <c r="C115" s="340">
        <v>10</v>
      </c>
      <c r="D115" s="369" t="s">
        <v>46</v>
      </c>
      <c r="E115" s="352"/>
      <c r="F115" s="361"/>
      <c r="G115" s="340"/>
      <c r="H115" s="340">
        <v>1</v>
      </c>
      <c r="I115" s="340">
        <v>1.3</v>
      </c>
      <c r="J115" s="346">
        <f>+E115*F115*G115*H115*I115</f>
        <v>0</v>
      </c>
      <c r="K115" s="343"/>
      <c r="L115" s="344"/>
      <c r="M115" s="343"/>
      <c r="N115" s="340">
        <v>0.95</v>
      </c>
      <c r="O115" s="340">
        <v>1.3</v>
      </c>
      <c r="P115" s="81">
        <f>+K115*L115*M115*N115*O115</f>
        <v>0</v>
      </c>
    </row>
    <row r="116" spans="1:16" ht="12" customHeight="1">
      <c r="A116" s="590"/>
      <c r="B116" s="350" t="s">
        <v>199</v>
      </c>
      <c r="C116" s="340">
        <v>11</v>
      </c>
      <c r="D116" s="340" t="s">
        <v>44</v>
      </c>
      <c r="E116" s="352"/>
      <c r="F116" s="344"/>
      <c r="G116" s="340"/>
      <c r="H116" s="340">
        <v>1</v>
      </c>
      <c r="I116" s="340">
        <v>1.3</v>
      </c>
      <c r="J116" s="346">
        <f>+E116*F116*G116*H116*I116</f>
        <v>0</v>
      </c>
      <c r="K116" s="343"/>
      <c r="L116" s="344"/>
      <c r="M116" s="343"/>
      <c r="N116" s="340">
        <v>0.95</v>
      </c>
      <c r="O116" s="340">
        <v>1.3</v>
      </c>
      <c r="P116" s="81">
        <f>+K116*L116*M116*N116*O116</f>
        <v>0</v>
      </c>
    </row>
    <row r="117" spans="1:16" ht="12" customHeight="1">
      <c r="A117" s="591"/>
      <c r="B117" s="593" t="s">
        <v>36</v>
      </c>
      <c r="C117" s="594"/>
      <c r="D117" s="595"/>
      <c r="E117" s="262"/>
      <c r="F117" s="231"/>
      <c r="G117" s="232"/>
      <c r="H117" s="232"/>
      <c r="I117" s="232"/>
      <c r="J117" s="346">
        <f>SUM(J106:J116)</f>
        <v>0</v>
      </c>
      <c r="K117" s="368"/>
      <c r="L117" s="231"/>
      <c r="M117" s="346"/>
      <c r="N117" s="346"/>
      <c r="O117" s="346"/>
      <c r="P117" s="81">
        <f>SUM(P106:P116)</f>
        <v>0</v>
      </c>
    </row>
    <row r="118" spans="1:16" ht="12" customHeight="1">
      <c r="A118" s="589" t="s">
        <v>200</v>
      </c>
      <c r="B118" s="350" t="s">
        <v>141</v>
      </c>
      <c r="C118" s="340">
        <v>1</v>
      </c>
      <c r="D118" s="350" t="s">
        <v>40</v>
      </c>
      <c r="E118" s="352"/>
      <c r="F118" s="352"/>
      <c r="G118" s="352"/>
      <c r="H118" s="340">
        <v>1</v>
      </c>
      <c r="I118" s="340">
        <v>1.3</v>
      </c>
      <c r="J118" s="346">
        <f t="shared" ref="J118:J126" si="14">+E118*F118*G118*H118*I118</f>
        <v>0</v>
      </c>
      <c r="K118" s="343"/>
      <c r="L118" s="344"/>
      <c r="M118" s="343"/>
      <c r="N118" s="340">
        <v>0.95</v>
      </c>
      <c r="O118" s="340">
        <v>1.3</v>
      </c>
      <c r="P118" s="81">
        <f t="shared" ref="P118:P126" si="15">+K118*L118*M118*N118*O118</f>
        <v>0</v>
      </c>
    </row>
    <row r="119" spans="1:16" ht="12" customHeight="1">
      <c r="A119" s="590"/>
      <c r="B119" s="350" t="s">
        <v>155</v>
      </c>
      <c r="C119" s="340">
        <v>2</v>
      </c>
      <c r="D119" s="356" t="s">
        <v>41</v>
      </c>
      <c r="E119" s="352"/>
      <c r="F119" s="352"/>
      <c r="G119" s="352"/>
      <c r="H119" s="340">
        <v>1</v>
      </c>
      <c r="I119" s="340">
        <v>1.3</v>
      </c>
      <c r="J119" s="346">
        <f t="shared" si="14"/>
        <v>0</v>
      </c>
      <c r="K119" s="352"/>
      <c r="L119" s="361"/>
      <c r="M119" s="340"/>
      <c r="N119" s="370">
        <v>0.95199999999999996</v>
      </c>
      <c r="O119" s="340">
        <v>1.3</v>
      </c>
      <c r="P119" s="81">
        <f t="shared" si="15"/>
        <v>0</v>
      </c>
    </row>
    <row r="120" spans="1:16" ht="12" customHeight="1">
      <c r="A120" s="590"/>
      <c r="B120" s="350" t="s">
        <v>158</v>
      </c>
      <c r="C120" s="340">
        <v>3</v>
      </c>
      <c r="D120" s="356" t="s">
        <v>41</v>
      </c>
      <c r="E120" s="352"/>
      <c r="F120" s="352"/>
      <c r="G120" s="352"/>
      <c r="H120" s="340">
        <v>1</v>
      </c>
      <c r="I120" s="340">
        <v>1.3</v>
      </c>
      <c r="J120" s="346">
        <f t="shared" si="14"/>
        <v>0</v>
      </c>
      <c r="K120" s="352"/>
      <c r="L120" s="361"/>
      <c r="M120" s="340"/>
      <c r="N120" s="370">
        <v>0.95199999999999996</v>
      </c>
      <c r="O120" s="340">
        <v>1.3</v>
      </c>
      <c r="P120" s="81">
        <f t="shared" si="15"/>
        <v>0</v>
      </c>
    </row>
    <row r="121" spans="1:16" ht="12" customHeight="1">
      <c r="A121" s="590"/>
      <c r="B121" s="350" t="s">
        <v>164</v>
      </c>
      <c r="C121" s="340">
        <v>4</v>
      </c>
      <c r="D121" s="356" t="s">
        <v>41</v>
      </c>
      <c r="E121" s="352"/>
      <c r="F121" s="352"/>
      <c r="G121" s="352"/>
      <c r="H121" s="340">
        <v>1</v>
      </c>
      <c r="I121" s="340">
        <v>1.3</v>
      </c>
      <c r="J121" s="346">
        <f t="shared" si="14"/>
        <v>0</v>
      </c>
      <c r="K121" s="352"/>
      <c r="L121" s="361"/>
      <c r="M121" s="340"/>
      <c r="N121" s="370">
        <v>0.95199999999999996</v>
      </c>
      <c r="O121" s="340">
        <v>1.3</v>
      </c>
      <c r="P121" s="81">
        <f t="shared" si="15"/>
        <v>0</v>
      </c>
    </row>
    <row r="122" spans="1:16" ht="12" customHeight="1">
      <c r="A122" s="590"/>
      <c r="B122" s="350" t="s">
        <v>168</v>
      </c>
      <c r="C122" s="340">
        <v>5</v>
      </c>
      <c r="D122" s="340" t="s">
        <v>44</v>
      </c>
      <c r="E122" s="352"/>
      <c r="F122" s="352"/>
      <c r="G122" s="352"/>
      <c r="H122" s="340">
        <v>1</v>
      </c>
      <c r="I122" s="340">
        <v>1.3</v>
      </c>
      <c r="J122" s="346">
        <f t="shared" si="14"/>
        <v>0</v>
      </c>
      <c r="K122" s="352"/>
      <c r="L122" s="361"/>
      <c r="M122" s="340"/>
      <c r="N122" s="370">
        <v>0.95199999999999996</v>
      </c>
      <c r="O122" s="340">
        <v>1.3</v>
      </c>
      <c r="P122" s="81">
        <f t="shared" si="15"/>
        <v>0</v>
      </c>
    </row>
    <row r="123" spans="1:16" ht="12" customHeight="1">
      <c r="A123" s="590"/>
      <c r="B123" s="350" t="s">
        <v>170</v>
      </c>
      <c r="C123" s="340">
        <v>6</v>
      </c>
      <c r="D123" s="340" t="s">
        <v>44</v>
      </c>
      <c r="E123" s="352"/>
      <c r="F123" s="352"/>
      <c r="G123" s="352"/>
      <c r="H123" s="340">
        <v>1</v>
      </c>
      <c r="I123" s="340">
        <v>1.3</v>
      </c>
      <c r="J123" s="346">
        <f t="shared" si="14"/>
        <v>0</v>
      </c>
      <c r="K123" s="352"/>
      <c r="L123" s="361"/>
      <c r="M123" s="340"/>
      <c r="N123" s="370">
        <v>0.95199999999999996</v>
      </c>
      <c r="O123" s="340">
        <v>1.3</v>
      </c>
      <c r="P123" s="81">
        <f t="shared" si="15"/>
        <v>0</v>
      </c>
    </row>
    <row r="124" spans="1:16" ht="12" customHeight="1">
      <c r="A124" s="590"/>
      <c r="B124" s="350" t="s">
        <v>198</v>
      </c>
      <c r="C124" s="340">
        <v>7</v>
      </c>
      <c r="D124" s="340" t="s">
        <v>44</v>
      </c>
      <c r="E124" s="352"/>
      <c r="F124" s="352"/>
      <c r="G124" s="352"/>
      <c r="H124" s="340">
        <v>1</v>
      </c>
      <c r="I124" s="340">
        <v>1.3</v>
      </c>
      <c r="J124" s="346">
        <f t="shared" si="14"/>
        <v>0</v>
      </c>
      <c r="K124" s="352"/>
      <c r="L124" s="361"/>
      <c r="M124" s="340"/>
      <c r="N124" s="370">
        <v>0.95199999999999996</v>
      </c>
      <c r="O124" s="340">
        <v>1.3</v>
      </c>
      <c r="P124" s="81">
        <f t="shared" si="15"/>
        <v>0</v>
      </c>
    </row>
    <row r="125" spans="1:16" ht="12" customHeight="1">
      <c r="A125" s="590"/>
      <c r="B125" s="350" t="s">
        <v>201</v>
      </c>
      <c r="C125" s="340">
        <v>8</v>
      </c>
      <c r="D125" s="340" t="s">
        <v>44</v>
      </c>
      <c r="E125" s="352"/>
      <c r="F125" s="352"/>
      <c r="G125" s="352"/>
      <c r="H125" s="340">
        <v>1</v>
      </c>
      <c r="I125" s="340">
        <v>1.3</v>
      </c>
      <c r="J125" s="347">
        <f t="shared" si="14"/>
        <v>0</v>
      </c>
      <c r="K125" s="352"/>
      <c r="L125" s="361"/>
      <c r="M125" s="340"/>
      <c r="N125" s="370">
        <v>0.95199999999999996</v>
      </c>
      <c r="O125" s="340">
        <v>1.3</v>
      </c>
      <c r="P125" s="188">
        <f t="shared" si="15"/>
        <v>0</v>
      </c>
    </row>
    <row r="126" spans="1:16" ht="12" customHeight="1">
      <c r="A126" s="590"/>
      <c r="B126" s="350" t="s">
        <v>199</v>
      </c>
      <c r="C126" s="340">
        <v>9</v>
      </c>
      <c r="D126" s="340" t="s">
        <v>44</v>
      </c>
      <c r="E126" s="352"/>
      <c r="F126" s="352"/>
      <c r="G126" s="352"/>
      <c r="H126" s="340">
        <v>1</v>
      </c>
      <c r="I126" s="340">
        <v>1.3</v>
      </c>
      <c r="J126" s="347">
        <f t="shared" si="14"/>
        <v>0</v>
      </c>
      <c r="K126" s="352"/>
      <c r="L126" s="361"/>
      <c r="M126" s="340"/>
      <c r="N126" s="370">
        <v>0.95199999999999996</v>
      </c>
      <c r="O126" s="340">
        <v>1.3</v>
      </c>
      <c r="P126" s="188">
        <f t="shared" si="15"/>
        <v>0</v>
      </c>
    </row>
    <row r="127" spans="1:16" ht="12" customHeight="1">
      <c r="A127" s="591"/>
      <c r="B127" s="584" t="s">
        <v>36</v>
      </c>
      <c r="C127" s="584"/>
      <c r="D127" s="584"/>
      <c r="E127" s="358"/>
      <c r="F127" s="359"/>
      <c r="G127" s="339"/>
      <c r="H127" s="339"/>
      <c r="I127" s="339"/>
      <c r="J127" s="346">
        <f>SUM(J118:J126)</f>
        <v>0</v>
      </c>
      <c r="K127" s="368"/>
      <c r="L127" s="359"/>
      <c r="M127" s="371"/>
      <c r="N127" s="340"/>
      <c r="O127" s="340"/>
      <c r="P127" s="81">
        <f>SUM(P118:P126)</f>
        <v>0</v>
      </c>
    </row>
    <row r="128" spans="1:16" ht="12" customHeight="1">
      <c r="A128" s="589" t="s">
        <v>202</v>
      </c>
      <c r="B128" s="350" t="s">
        <v>134</v>
      </c>
      <c r="C128" s="340">
        <v>1</v>
      </c>
      <c r="D128" s="341" t="s">
        <v>37</v>
      </c>
      <c r="E128" s="352"/>
      <c r="F128" s="361"/>
      <c r="G128" s="340"/>
      <c r="H128" s="340">
        <v>1</v>
      </c>
      <c r="I128" s="340">
        <v>1.3</v>
      </c>
      <c r="J128" s="346">
        <f t="shared" ref="J128:J140" si="16">+E128*F128*G128*H128*I128</f>
        <v>0</v>
      </c>
      <c r="K128" s="352"/>
      <c r="L128" s="361"/>
      <c r="M128" s="340"/>
      <c r="N128" s="340">
        <v>0.95</v>
      </c>
      <c r="O128" s="340">
        <v>1.3</v>
      </c>
      <c r="P128" s="81">
        <f>+K128*L128*M128*N128*O128</f>
        <v>0</v>
      </c>
    </row>
    <row r="129" spans="1:16" ht="12" customHeight="1">
      <c r="A129" s="590"/>
      <c r="B129" s="350" t="s">
        <v>138</v>
      </c>
      <c r="C129" s="340">
        <v>2</v>
      </c>
      <c r="D129" s="350" t="s">
        <v>40</v>
      </c>
      <c r="E129" s="352"/>
      <c r="F129" s="352"/>
      <c r="G129" s="340"/>
      <c r="H129" s="340">
        <v>1</v>
      </c>
      <c r="I129" s="340">
        <v>1.3</v>
      </c>
      <c r="J129" s="346">
        <f t="shared" si="16"/>
        <v>0</v>
      </c>
      <c r="K129" s="352"/>
      <c r="L129" s="361"/>
      <c r="M129" s="340"/>
      <c r="N129" s="340">
        <v>0.95</v>
      </c>
      <c r="O129" s="340">
        <v>1.3</v>
      </c>
      <c r="P129" s="81">
        <f>+K129*L129*M129*N129*O129</f>
        <v>0</v>
      </c>
    </row>
    <row r="130" spans="1:16" ht="12" customHeight="1">
      <c r="A130" s="590"/>
      <c r="B130" s="350" t="s">
        <v>141</v>
      </c>
      <c r="C130" s="340">
        <v>3</v>
      </c>
      <c r="D130" s="350" t="s">
        <v>40</v>
      </c>
      <c r="E130" s="352"/>
      <c r="F130" s="352"/>
      <c r="G130" s="340"/>
      <c r="H130" s="340">
        <v>1</v>
      </c>
      <c r="I130" s="340">
        <v>1.3</v>
      </c>
      <c r="J130" s="346">
        <f t="shared" si="16"/>
        <v>0</v>
      </c>
      <c r="K130" s="352"/>
      <c r="L130" s="361"/>
      <c r="M130" s="340"/>
      <c r="N130" s="340">
        <v>0.95</v>
      </c>
      <c r="O130" s="340">
        <v>1.3</v>
      </c>
      <c r="P130" s="81">
        <f t="shared" ref="P130:P140" si="17">+K130*L130*M130*N130*O130</f>
        <v>0</v>
      </c>
    </row>
    <row r="131" spans="1:16" ht="12" customHeight="1">
      <c r="A131" s="590"/>
      <c r="B131" s="350" t="s">
        <v>154</v>
      </c>
      <c r="C131" s="340">
        <v>4</v>
      </c>
      <c r="D131" s="350" t="s">
        <v>40</v>
      </c>
      <c r="E131" s="352"/>
      <c r="F131" s="361"/>
      <c r="G131" s="340"/>
      <c r="H131" s="340">
        <v>1</v>
      </c>
      <c r="I131" s="340">
        <v>1.3</v>
      </c>
      <c r="J131" s="346">
        <f t="shared" si="16"/>
        <v>0</v>
      </c>
      <c r="K131" s="352"/>
      <c r="L131" s="361"/>
      <c r="M131" s="340"/>
      <c r="N131" s="340">
        <v>0.95</v>
      </c>
      <c r="O131" s="340">
        <v>1.3</v>
      </c>
      <c r="P131" s="81">
        <f t="shared" si="17"/>
        <v>0</v>
      </c>
    </row>
    <row r="132" spans="1:16" ht="12" customHeight="1">
      <c r="A132" s="590"/>
      <c r="B132" s="350" t="s">
        <v>155</v>
      </c>
      <c r="C132" s="340">
        <v>5</v>
      </c>
      <c r="D132" s="356" t="s">
        <v>41</v>
      </c>
      <c r="E132" s="352"/>
      <c r="F132" s="352"/>
      <c r="G132" s="352"/>
      <c r="H132" s="340">
        <v>1</v>
      </c>
      <c r="I132" s="340">
        <v>1.3</v>
      </c>
      <c r="J132" s="346">
        <f t="shared" si="16"/>
        <v>0</v>
      </c>
      <c r="K132" s="352"/>
      <c r="L132" s="361"/>
      <c r="M132" s="340"/>
      <c r="N132" s="340">
        <v>0.95</v>
      </c>
      <c r="O132" s="340">
        <v>1.3</v>
      </c>
      <c r="P132" s="81">
        <f t="shared" si="17"/>
        <v>0</v>
      </c>
    </row>
    <row r="133" spans="1:16" ht="12" customHeight="1">
      <c r="A133" s="590"/>
      <c r="B133" s="350" t="s">
        <v>158</v>
      </c>
      <c r="C133" s="340">
        <v>6</v>
      </c>
      <c r="D133" s="356" t="s">
        <v>41</v>
      </c>
      <c r="E133" s="352"/>
      <c r="F133" s="352"/>
      <c r="G133" s="352"/>
      <c r="H133" s="340">
        <v>1</v>
      </c>
      <c r="I133" s="340">
        <v>1.3</v>
      </c>
      <c r="J133" s="346">
        <f t="shared" si="16"/>
        <v>0</v>
      </c>
      <c r="K133" s="352"/>
      <c r="L133" s="361"/>
      <c r="M133" s="340"/>
      <c r="N133" s="340">
        <v>0.95</v>
      </c>
      <c r="O133" s="340">
        <v>1.3</v>
      </c>
      <c r="P133" s="81">
        <f t="shared" si="17"/>
        <v>0</v>
      </c>
    </row>
    <row r="134" spans="1:16" ht="12" customHeight="1">
      <c r="A134" s="590"/>
      <c r="B134" s="350" t="s">
        <v>164</v>
      </c>
      <c r="C134" s="340">
        <v>7</v>
      </c>
      <c r="D134" s="356" t="s">
        <v>41</v>
      </c>
      <c r="E134" s="352"/>
      <c r="F134" s="372"/>
      <c r="G134" s="373"/>
      <c r="H134" s="340">
        <v>1</v>
      </c>
      <c r="I134" s="340">
        <v>1.3</v>
      </c>
      <c r="J134" s="346">
        <f t="shared" si="16"/>
        <v>0</v>
      </c>
      <c r="K134" s="310"/>
      <c r="L134" s="361"/>
      <c r="M134" s="340"/>
      <c r="N134" s="340">
        <v>0.95</v>
      </c>
      <c r="O134" s="340">
        <v>1.3</v>
      </c>
      <c r="P134" s="81">
        <f t="shared" si="17"/>
        <v>0</v>
      </c>
    </row>
    <row r="135" spans="1:16" ht="12" customHeight="1">
      <c r="A135" s="590"/>
      <c r="B135" s="350" t="s">
        <v>166</v>
      </c>
      <c r="C135" s="340">
        <v>8</v>
      </c>
      <c r="D135" s="340" t="s">
        <v>44</v>
      </c>
      <c r="E135" s="352"/>
      <c r="F135" s="372"/>
      <c r="G135" s="373"/>
      <c r="H135" s="340">
        <v>1</v>
      </c>
      <c r="I135" s="340">
        <v>1.3</v>
      </c>
      <c r="J135" s="346">
        <f t="shared" si="16"/>
        <v>0</v>
      </c>
      <c r="K135" s="310"/>
      <c r="L135" s="361"/>
      <c r="M135" s="340"/>
      <c r="N135" s="340">
        <v>0.95</v>
      </c>
      <c r="O135" s="340">
        <v>1.3</v>
      </c>
      <c r="P135" s="81">
        <f t="shared" si="17"/>
        <v>0</v>
      </c>
    </row>
    <row r="136" spans="1:16" ht="12" customHeight="1">
      <c r="A136" s="590"/>
      <c r="B136" s="350" t="s">
        <v>168</v>
      </c>
      <c r="C136" s="340">
        <v>9</v>
      </c>
      <c r="D136" s="340" t="s">
        <v>44</v>
      </c>
      <c r="E136" s="352">
        <v>60</v>
      </c>
      <c r="F136" s="372">
        <v>7</v>
      </c>
      <c r="G136" s="373">
        <v>4</v>
      </c>
      <c r="H136" s="340">
        <v>1</v>
      </c>
      <c r="I136" s="340">
        <v>1.3</v>
      </c>
      <c r="J136" s="346">
        <f t="shared" si="16"/>
        <v>2184</v>
      </c>
      <c r="K136" s="310">
        <v>60</v>
      </c>
      <c r="L136" s="361">
        <v>7</v>
      </c>
      <c r="M136" s="340">
        <v>4</v>
      </c>
      <c r="N136" s="340">
        <v>0.95</v>
      </c>
      <c r="O136" s="340">
        <v>1.3</v>
      </c>
      <c r="P136" s="81">
        <f t="shared" si="17"/>
        <v>2074.8000000000002</v>
      </c>
    </row>
    <row r="137" spans="1:16" ht="12" customHeight="1">
      <c r="A137" s="590"/>
      <c r="B137" s="350" t="s">
        <v>170</v>
      </c>
      <c r="C137" s="340">
        <v>10</v>
      </c>
      <c r="D137" s="340" t="s">
        <v>44</v>
      </c>
      <c r="E137" s="352"/>
      <c r="F137" s="372"/>
      <c r="G137" s="373"/>
      <c r="H137" s="340">
        <v>1</v>
      </c>
      <c r="I137" s="340">
        <v>1.3</v>
      </c>
      <c r="J137" s="346">
        <f t="shared" si="16"/>
        <v>0</v>
      </c>
      <c r="K137" s="310"/>
      <c r="L137" s="361"/>
      <c r="M137" s="340"/>
      <c r="N137" s="340">
        <v>0.95</v>
      </c>
      <c r="O137" s="340">
        <v>1.3</v>
      </c>
      <c r="P137" s="81">
        <f t="shared" si="17"/>
        <v>0</v>
      </c>
    </row>
    <row r="138" spans="1:16" ht="12" customHeight="1">
      <c r="A138" s="590"/>
      <c r="B138" s="350" t="s">
        <v>203</v>
      </c>
      <c r="C138" s="340">
        <v>11</v>
      </c>
      <c r="D138" s="340" t="s">
        <v>44</v>
      </c>
      <c r="E138" s="352"/>
      <c r="F138" s="372"/>
      <c r="G138" s="373"/>
      <c r="H138" s="340">
        <v>1</v>
      </c>
      <c r="I138" s="340">
        <v>1.3</v>
      </c>
      <c r="J138" s="346">
        <f t="shared" si="16"/>
        <v>0</v>
      </c>
      <c r="K138" s="310"/>
      <c r="L138" s="361"/>
      <c r="M138" s="340"/>
      <c r="N138" s="340">
        <v>0.95</v>
      </c>
      <c r="O138" s="340">
        <v>1.3</v>
      </c>
      <c r="P138" s="81">
        <f t="shared" si="17"/>
        <v>0</v>
      </c>
    </row>
    <row r="139" spans="1:16" ht="12" customHeight="1">
      <c r="A139" s="590"/>
      <c r="B139" s="350" t="s">
        <v>198</v>
      </c>
      <c r="C139" s="340">
        <v>12</v>
      </c>
      <c r="D139" s="340" t="s">
        <v>44</v>
      </c>
      <c r="E139" s="352"/>
      <c r="F139" s="372"/>
      <c r="G139" s="373"/>
      <c r="H139" s="340">
        <v>1</v>
      </c>
      <c r="I139" s="340">
        <v>1.3</v>
      </c>
      <c r="J139" s="346">
        <f t="shared" si="16"/>
        <v>0</v>
      </c>
      <c r="K139" s="310"/>
      <c r="L139" s="361"/>
      <c r="M139" s="340"/>
      <c r="N139" s="340">
        <v>0.95</v>
      </c>
      <c r="O139" s="340">
        <v>1.3</v>
      </c>
      <c r="P139" s="81">
        <f t="shared" si="17"/>
        <v>0</v>
      </c>
    </row>
    <row r="140" spans="1:16" ht="12" customHeight="1">
      <c r="A140" s="590"/>
      <c r="B140" s="350" t="s">
        <v>201</v>
      </c>
      <c r="C140" s="340">
        <v>13</v>
      </c>
      <c r="D140" s="340" t="s">
        <v>44</v>
      </c>
      <c r="E140" s="352"/>
      <c r="F140" s="372"/>
      <c r="G140" s="373"/>
      <c r="H140" s="340">
        <v>1</v>
      </c>
      <c r="I140" s="340">
        <v>1.3</v>
      </c>
      <c r="J140" s="346">
        <f t="shared" si="16"/>
        <v>0</v>
      </c>
      <c r="K140" s="310"/>
      <c r="L140" s="361"/>
      <c r="M140" s="340"/>
      <c r="N140" s="340">
        <v>0.95</v>
      </c>
      <c r="O140" s="340">
        <v>1.3</v>
      </c>
      <c r="P140" s="81">
        <f t="shared" si="17"/>
        <v>0</v>
      </c>
    </row>
    <row r="141" spans="1:16" ht="12" customHeight="1">
      <c r="A141" s="590"/>
      <c r="B141" s="350"/>
      <c r="C141" s="340"/>
      <c r="D141" s="340"/>
      <c r="E141" s="352"/>
      <c r="F141" s="372"/>
      <c r="G141" s="373"/>
      <c r="H141" s="340"/>
      <c r="I141" s="340"/>
      <c r="J141" s="367"/>
      <c r="K141" s="310"/>
      <c r="L141" s="361"/>
      <c r="M141" s="340"/>
      <c r="N141" s="340"/>
      <c r="O141" s="340"/>
      <c r="P141" s="276">
        <f>J141*0.95</f>
        <v>0</v>
      </c>
    </row>
    <row r="142" spans="1:16" ht="12" customHeight="1">
      <c r="A142" s="591"/>
      <c r="B142" s="584" t="s">
        <v>36</v>
      </c>
      <c r="C142" s="584"/>
      <c r="D142" s="584"/>
      <c r="E142" s="358"/>
      <c r="F142" s="359"/>
      <c r="G142" s="339"/>
      <c r="H142" s="339"/>
      <c r="I142" s="339"/>
      <c r="J142" s="374">
        <f>SUM(J128:J141)</f>
        <v>2184</v>
      </c>
      <c r="K142" s="368"/>
      <c r="L142" s="359"/>
      <c r="M142" s="371"/>
      <c r="N142" s="340"/>
      <c r="O142" s="340"/>
      <c r="P142" s="291">
        <f>SUM(P128:P141)</f>
        <v>2074.8000000000002</v>
      </c>
    </row>
    <row r="143" spans="1:16" ht="12" customHeight="1">
      <c r="A143" s="589" t="s">
        <v>204</v>
      </c>
      <c r="B143" s="350" t="s">
        <v>134</v>
      </c>
      <c r="C143" s="340">
        <v>1</v>
      </c>
      <c r="D143" s="350" t="s">
        <v>40</v>
      </c>
      <c r="E143" s="352">
        <v>80</v>
      </c>
      <c r="F143" s="375">
        <v>2.5</v>
      </c>
      <c r="G143" s="376">
        <v>3</v>
      </c>
      <c r="H143" s="340">
        <v>1</v>
      </c>
      <c r="I143" s="364">
        <v>1.3</v>
      </c>
      <c r="J143" s="377">
        <f>+E143*F143*G143*H143*I143</f>
        <v>780</v>
      </c>
      <c r="K143" s="310">
        <v>80</v>
      </c>
      <c r="L143" s="361">
        <v>2.5</v>
      </c>
      <c r="M143" s="340">
        <v>3</v>
      </c>
      <c r="N143" s="340">
        <v>0.95</v>
      </c>
      <c r="O143" s="340">
        <v>1.3</v>
      </c>
      <c r="P143" s="81">
        <f t="shared" ref="P143:P157" si="18">+K143*L143*M143*N143*O143</f>
        <v>741</v>
      </c>
    </row>
    <row r="144" spans="1:16" ht="12" customHeight="1">
      <c r="A144" s="590"/>
      <c r="B144" s="350" t="s">
        <v>138</v>
      </c>
      <c r="C144" s="340">
        <v>2</v>
      </c>
      <c r="D144" s="341" t="s">
        <v>37</v>
      </c>
      <c r="E144" s="352"/>
      <c r="F144" s="372">
        <v>1.5</v>
      </c>
      <c r="G144" s="373">
        <v>3</v>
      </c>
      <c r="H144" s="340">
        <v>1</v>
      </c>
      <c r="I144" s="340">
        <v>1.3</v>
      </c>
      <c r="J144" s="346">
        <f t="shared" ref="J144:J157" si="19">+E144*F144*G144*H144*I144</f>
        <v>0</v>
      </c>
      <c r="K144" s="310"/>
      <c r="L144" s="361">
        <v>1.5</v>
      </c>
      <c r="M144" s="340">
        <v>3</v>
      </c>
      <c r="N144" s="340">
        <v>0.95</v>
      </c>
      <c r="O144" s="340">
        <v>1.3</v>
      </c>
      <c r="P144" s="81">
        <f t="shared" si="18"/>
        <v>0</v>
      </c>
    </row>
    <row r="145" spans="1:16" ht="12" customHeight="1">
      <c r="A145" s="590"/>
      <c r="B145" s="350" t="s">
        <v>141</v>
      </c>
      <c r="C145" s="340">
        <v>3</v>
      </c>
      <c r="D145" s="350" t="s">
        <v>40</v>
      </c>
      <c r="E145" s="352"/>
      <c r="F145" s="372">
        <v>3</v>
      </c>
      <c r="G145" s="373">
        <v>4</v>
      </c>
      <c r="H145" s="340">
        <v>1</v>
      </c>
      <c r="I145" s="340">
        <v>1.3</v>
      </c>
      <c r="J145" s="346">
        <f t="shared" si="19"/>
        <v>0</v>
      </c>
      <c r="K145" s="310"/>
      <c r="L145" s="361">
        <v>3</v>
      </c>
      <c r="M145" s="340">
        <v>4</v>
      </c>
      <c r="N145" s="340">
        <v>0.95</v>
      </c>
      <c r="O145" s="340">
        <v>1.3</v>
      </c>
      <c r="P145" s="81">
        <f t="shared" si="18"/>
        <v>0</v>
      </c>
    </row>
    <row r="146" spans="1:16" ht="12" customHeight="1">
      <c r="A146" s="590"/>
      <c r="B146" s="350" t="s">
        <v>154</v>
      </c>
      <c r="C146" s="340">
        <v>4</v>
      </c>
      <c r="D146" s="350" t="s">
        <v>40</v>
      </c>
      <c r="E146" s="352"/>
      <c r="F146" s="372">
        <v>3</v>
      </c>
      <c r="G146" s="373">
        <v>4</v>
      </c>
      <c r="H146" s="340">
        <v>1</v>
      </c>
      <c r="I146" s="340">
        <v>1.3</v>
      </c>
      <c r="J146" s="346">
        <f t="shared" si="19"/>
        <v>0</v>
      </c>
      <c r="K146" s="310"/>
      <c r="L146" s="361">
        <v>3</v>
      </c>
      <c r="M146" s="340">
        <v>4</v>
      </c>
      <c r="N146" s="340">
        <v>0.95</v>
      </c>
      <c r="O146" s="340">
        <v>1.3</v>
      </c>
      <c r="P146" s="81">
        <f t="shared" si="18"/>
        <v>0</v>
      </c>
    </row>
    <row r="147" spans="1:16" ht="12" customHeight="1">
      <c r="A147" s="590"/>
      <c r="B147" s="350" t="s">
        <v>205</v>
      </c>
      <c r="C147" s="340">
        <v>5</v>
      </c>
      <c r="D147" s="356" t="s">
        <v>41</v>
      </c>
      <c r="E147" s="352"/>
      <c r="F147" s="372">
        <v>3.5</v>
      </c>
      <c r="G147" s="373">
        <v>4</v>
      </c>
      <c r="H147" s="340">
        <v>1</v>
      </c>
      <c r="I147" s="340">
        <v>1.3</v>
      </c>
      <c r="J147" s="346">
        <f t="shared" si="19"/>
        <v>0</v>
      </c>
      <c r="K147" s="310"/>
      <c r="L147" s="361">
        <v>3.5</v>
      </c>
      <c r="M147" s="340">
        <v>4</v>
      </c>
      <c r="N147" s="340">
        <v>0.95</v>
      </c>
      <c r="O147" s="340">
        <v>1.3</v>
      </c>
      <c r="P147" s="81">
        <f t="shared" si="18"/>
        <v>0</v>
      </c>
    </row>
    <row r="148" spans="1:16" ht="12" customHeight="1">
      <c r="A148" s="590"/>
      <c r="B148" s="350" t="s">
        <v>155</v>
      </c>
      <c r="C148" s="340">
        <v>6</v>
      </c>
      <c r="D148" s="356" t="s">
        <v>41</v>
      </c>
      <c r="E148" s="352"/>
      <c r="F148" s="372">
        <v>4</v>
      </c>
      <c r="G148" s="373">
        <v>3</v>
      </c>
      <c r="H148" s="340">
        <v>1</v>
      </c>
      <c r="I148" s="340">
        <v>1.3</v>
      </c>
      <c r="J148" s="346">
        <f t="shared" si="19"/>
        <v>0</v>
      </c>
      <c r="K148" s="310"/>
      <c r="L148" s="361">
        <v>4</v>
      </c>
      <c r="M148" s="340">
        <v>3</v>
      </c>
      <c r="N148" s="340">
        <v>0.95</v>
      </c>
      <c r="O148" s="340">
        <v>1.3</v>
      </c>
      <c r="P148" s="81">
        <f t="shared" si="18"/>
        <v>0</v>
      </c>
    </row>
    <row r="149" spans="1:16" ht="12" customHeight="1">
      <c r="A149" s="590"/>
      <c r="B149" s="350" t="s">
        <v>158</v>
      </c>
      <c r="C149" s="340">
        <v>7</v>
      </c>
      <c r="D149" s="356" t="s">
        <v>41</v>
      </c>
      <c r="E149" s="352"/>
      <c r="F149" s="372">
        <v>2</v>
      </c>
      <c r="G149" s="373">
        <v>3</v>
      </c>
      <c r="H149" s="340">
        <v>1</v>
      </c>
      <c r="I149" s="340">
        <v>1.3</v>
      </c>
      <c r="J149" s="346">
        <f t="shared" si="19"/>
        <v>0</v>
      </c>
      <c r="K149" s="310"/>
      <c r="L149" s="361">
        <v>2</v>
      </c>
      <c r="M149" s="340">
        <v>3</v>
      </c>
      <c r="N149" s="340">
        <v>0.95</v>
      </c>
      <c r="O149" s="340">
        <v>1.3</v>
      </c>
      <c r="P149" s="81">
        <f t="shared" si="18"/>
        <v>0</v>
      </c>
    </row>
    <row r="150" spans="1:16" ht="12" customHeight="1">
      <c r="A150" s="590"/>
      <c r="B150" s="350" t="s">
        <v>160</v>
      </c>
      <c r="C150" s="340">
        <v>8</v>
      </c>
      <c r="D150" s="350" t="s">
        <v>40</v>
      </c>
      <c r="E150" s="352"/>
      <c r="F150" s="372">
        <v>1</v>
      </c>
      <c r="G150" s="373">
        <v>3</v>
      </c>
      <c r="H150" s="340">
        <v>1</v>
      </c>
      <c r="I150" s="340">
        <v>1.3</v>
      </c>
      <c r="J150" s="346">
        <f t="shared" si="19"/>
        <v>0</v>
      </c>
      <c r="K150" s="310"/>
      <c r="L150" s="361">
        <v>1</v>
      </c>
      <c r="M150" s="340">
        <v>3</v>
      </c>
      <c r="N150" s="340">
        <v>0.95</v>
      </c>
      <c r="O150" s="340">
        <v>1.3</v>
      </c>
      <c r="P150" s="81">
        <f t="shared" si="18"/>
        <v>0</v>
      </c>
    </row>
    <row r="151" spans="1:16" ht="12" customHeight="1">
      <c r="A151" s="590"/>
      <c r="B151" s="350" t="s">
        <v>164</v>
      </c>
      <c r="C151" s="340">
        <v>9</v>
      </c>
      <c r="D151" s="356" t="s">
        <v>41</v>
      </c>
      <c r="E151" s="352"/>
      <c r="F151" s="375">
        <v>40</v>
      </c>
      <c r="G151" s="373">
        <v>3.5</v>
      </c>
      <c r="H151" s="340">
        <v>1</v>
      </c>
      <c r="I151" s="364">
        <v>1.3</v>
      </c>
      <c r="J151" s="377">
        <f t="shared" si="19"/>
        <v>0</v>
      </c>
      <c r="K151" s="310"/>
      <c r="L151" s="361">
        <v>40</v>
      </c>
      <c r="M151" s="340">
        <v>3.5</v>
      </c>
      <c r="N151" s="340">
        <v>0.95</v>
      </c>
      <c r="O151" s="340">
        <v>1.3</v>
      </c>
      <c r="P151" s="81">
        <f t="shared" si="18"/>
        <v>0</v>
      </c>
    </row>
    <row r="152" spans="1:16" ht="12" customHeight="1">
      <c r="A152" s="590"/>
      <c r="B152" s="350" t="s">
        <v>168</v>
      </c>
      <c r="C152" s="340">
        <v>10</v>
      </c>
      <c r="D152" s="340" t="s">
        <v>44</v>
      </c>
      <c r="E152" s="352">
        <v>40</v>
      </c>
      <c r="F152" s="375">
        <v>15</v>
      </c>
      <c r="G152" s="373">
        <v>3</v>
      </c>
      <c r="H152" s="340">
        <v>1</v>
      </c>
      <c r="I152" s="364">
        <v>1.3</v>
      </c>
      <c r="J152" s="377">
        <f t="shared" si="19"/>
        <v>2340</v>
      </c>
      <c r="K152" s="310">
        <v>40</v>
      </c>
      <c r="L152" s="361">
        <v>15</v>
      </c>
      <c r="M152" s="340">
        <v>3</v>
      </c>
      <c r="N152" s="340">
        <v>0.95</v>
      </c>
      <c r="O152" s="340">
        <v>1.3</v>
      </c>
      <c r="P152" s="81">
        <f t="shared" si="18"/>
        <v>2223</v>
      </c>
    </row>
    <row r="153" spans="1:16" ht="12" customHeight="1">
      <c r="A153" s="590"/>
      <c r="B153" s="350" t="s">
        <v>170</v>
      </c>
      <c r="C153" s="340">
        <v>11</v>
      </c>
      <c r="D153" s="340" t="s">
        <v>44</v>
      </c>
      <c r="E153" s="352"/>
      <c r="F153" s="372"/>
      <c r="G153" s="373"/>
      <c r="H153" s="340">
        <v>1</v>
      </c>
      <c r="I153" s="340">
        <v>1.3</v>
      </c>
      <c r="J153" s="346">
        <f t="shared" si="19"/>
        <v>0</v>
      </c>
      <c r="K153" s="310"/>
      <c r="L153" s="361"/>
      <c r="M153" s="340"/>
      <c r="N153" s="340">
        <v>0.95</v>
      </c>
      <c r="O153" s="340">
        <v>1.3</v>
      </c>
      <c r="P153" s="81">
        <f t="shared" si="18"/>
        <v>0</v>
      </c>
    </row>
    <row r="154" spans="1:16" ht="12" customHeight="1">
      <c r="A154" s="590"/>
      <c r="B154" s="350" t="s">
        <v>203</v>
      </c>
      <c r="C154" s="340">
        <v>12</v>
      </c>
      <c r="D154" s="340" t="s">
        <v>44</v>
      </c>
      <c r="E154" s="352"/>
      <c r="F154" s="375"/>
      <c r="G154" s="373"/>
      <c r="H154" s="340">
        <v>1</v>
      </c>
      <c r="I154" s="340">
        <v>1.3</v>
      </c>
      <c r="J154" s="346">
        <f t="shared" si="19"/>
        <v>0</v>
      </c>
      <c r="K154" s="310"/>
      <c r="L154" s="361"/>
      <c r="M154" s="340"/>
      <c r="N154" s="340">
        <v>0.95</v>
      </c>
      <c r="O154" s="340">
        <v>1.3</v>
      </c>
      <c r="P154" s="81">
        <f t="shared" si="18"/>
        <v>0</v>
      </c>
    </row>
    <row r="155" spans="1:16" ht="12" customHeight="1">
      <c r="A155" s="590"/>
      <c r="B155" s="350" t="s">
        <v>198</v>
      </c>
      <c r="C155" s="340">
        <v>13</v>
      </c>
      <c r="D155" s="340" t="s">
        <v>44</v>
      </c>
      <c r="E155" s="352"/>
      <c r="F155" s="375"/>
      <c r="G155" s="373"/>
      <c r="H155" s="340">
        <v>1</v>
      </c>
      <c r="I155" s="364">
        <v>1.3</v>
      </c>
      <c r="J155" s="377">
        <f t="shared" si="19"/>
        <v>0</v>
      </c>
      <c r="K155" s="310"/>
      <c r="L155" s="361"/>
      <c r="M155" s="340"/>
      <c r="N155" s="340">
        <v>0.95</v>
      </c>
      <c r="O155" s="340">
        <v>1.3</v>
      </c>
      <c r="P155" s="81">
        <f t="shared" si="18"/>
        <v>0</v>
      </c>
    </row>
    <row r="156" spans="1:16" ht="12" customHeight="1">
      <c r="A156" s="590"/>
      <c r="B156" s="350" t="s">
        <v>201</v>
      </c>
      <c r="C156" s="340">
        <v>14</v>
      </c>
      <c r="D156" s="340" t="s">
        <v>44</v>
      </c>
      <c r="E156" s="352"/>
      <c r="F156" s="372"/>
      <c r="G156" s="373"/>
      <c r="H156" s="340">
        <v>1</v>
      </c>
      <c r="I156" s="340">
        <v>1.3</v>
      </c>
      <c r="J156" s="346">
        <f t="shared" si="19"/>
        <v>0</v>
      </c>
      <c r="K156" s="310"/>
      <c r="L156" s="361"/>
      <c r="M156" s="340"/>
      <c r="N156" s="340">
        <v>0.95</v>
      </c>
      <c r="O156" s="340">
        <v>1.3</v>
      </c>
      <c r="P156" s="81">
        <f t="shared" si="18"/>
        <v>0</v>
      </c>
    </row>
    <row r="157" spans="1:16" ht="12" customHeight="1">
      <c r="A157" s="590"/>
      <c r="B157" s="350" t="s">
        <v>199</v>
      </c>
      <c r="C157" s="340">
        <v>15</v>
      </c>
      <c r="D157" s="340" t="s">
        <v>44</v>
      </c>
      <c r="E157" s="352"/>
      <c r="F157" s="372"/>
      <c r="G157" s="373"/>
      <c r="H157" s="340">
        <v>1</v>
      </c>
      <c r="I157" s="340">
        <v>1.3</v>
      </c>
      <c r="J157" s="346">
        <f t="shared" si="19"/>
        <v>0</v>
      </c>
      <c r="K157" s="310"/>
      <c r="L157" s="361"/>
      <c r="M157" s="340"/>
      <c r="N157" s="340">
        <v>0.95</v>
      </c>
      <c r="O157" s="340">
        <v>1.3</v>
      </c>
      <c r="P157" s="81">
        <f t="shared" si="18"/>
        <v>0</v>
      </c>
    </row>
    <row r="158" spans="1:16" ht="12" customHeight="1">
      <c r="A158" s="591"/>
      <c r="B158" s="584" t="s">
        <v>36</v>
      </c>
      <c r="C158" s="584"/>
      <c r="D158" s="584"/>
      <c r="E158" s="358"/>
      <c r="F158" s="359"/>
      <c r="G158" s="339"/>
      <c r="H158" s="339"/>
      <c r="I158" s="339"/>
      <c r="J158" s="374">
        <f>SUM(J143:J157)</f>
        <v>3120</v>
      </c>
      <c r="K158" s="368"/>
      <c r="L158" s="359"/>
      <c r="M158" s="371"/>
      <c r="N158" s="340"/>
      <c r="O158" s="340"/>
      <c r="P158" s="291">
        <f>SUM(P143:P157)</f>
        <v>2964</v>
      </c>
    </row>
    <row r="159" spans="1:16" ht="12" customHeight="1">
      <c r="A159" s="589" t="s">
        <v>206</v>
      </c>
      <c r="B159" s="350" t="s">
        <v>134</v>
      </c>
      <c r="C159" s="340">
        <v>1</v>
      </c>
      <c r="D159" s="341" t="s">
        <v>37</v>
      </c>
      <c r="E159" s="352"/>
      <c r="F159" s="352"/>
      <c r="G159" s="352"/>
      <c r="H159" s="340">
        <v>1</v>
      </c>
      <c r="I159" s="340">
        <v>1.3</v>
      </c>
      <c r="J159" s="346">
        <f t="shared" ref="J159:J173" si="20">+E159*F159*G159*H159*I159</f>
        <v>0</v>
      </c>
      <c r="K159" s="352"/>
      <c r="L159" s="361"/>
      <c r="M159" s="340"/>
      <c r="N159" s="340">
        <v>0.95</v>
      </c>
      <c r="O159" s="340">
        <v>1.3</v>
      </c>
      <c r="P159" s="81">
        <f t="shared" ref="P159:P173" si="21">+K159*L159*M159*N159*O159</f>
        <v>0</v>
      </c>
    </row>
    <row r="160" spans="1:16" ht="12" customHeight="1">
      <c r="A160" s="590"/>
      <c r="B160" s="350" t="s">
        <v>138</v>
      </c>
      <c r="C160" s="340">
        <v>2</v>
      </c>
      <c r="D160" s="350" t="s">
        <v>40</v>
      </c>
      <c r="E160" s="352"/>
      <c r="F160" s="352"/>
      <c r="G160" s="352"/>
      <c r="H160" s="340">
        <v>1</v>
      </c>
      <c r="I160" s="340">
        <v>1.3</v>
      </c>
      <c r="J160" s="346">
        <f t="shared" si="20"/>
        <v>0</v>
      </c>
      <c r="K160" s="352"/>
      <c r="L160" s="361"/>
      <c r="M160" s="340"/>
      <c r="N160" s="340">
        <v>0.95</v>
      </c>
      <c r="O160" s="340">
        <v>1.3</v>
      </c>
      <c r="P160" s="81">
        <f t="shared" si="21"/>
        <v>0</v>
      </c>
    </row>
    <row r="161" spans="1:16" ht="12" customHeight="1">
      <c r="A161" s="590"/>
      <c r="B161" s="350" t="s">
        <v>141</v>
      </c>
      <c r="C161" s="340">
        <v>3</v>
      </c>
      <c r="D161" s="350" t="s">
        <v>40</v>
      </c>
      <c r="E161" s="352"/>
      <c r="F161" s="361"/>
      <c r="G161" s="340"/>
      <c r="H161" s="340">
        <v>1</v>
      </c>
      <c r="I161" s="340">
        <v>1.3</v>
      </c>
      <c r="J161" s="346">
        <f t="shared" si="20"/>
        <v>0</v>
      </c>
      <c r="K161" s="352"/>
      <c r="L161" s="361"/>
      <c r="M161" s="340"/>
      <c r="N161" s="340">
        <v>0.95</v>
      </c>
      <c r="O161" s="340">
        <v>1.3</v>
      </c>
      <c r="P161" s="81">
        <f t="shared" si="21"/>
        <v>0</v>
      </c>
    </row>
    <row r="162" spans="1:16" ht="12" customHeight="1">
      <c r="A162" s="590"/>
      <c r="B162" s="350" t="s">
        <v>154</v>
      </c>
      <c r="C162" s="340">
        <v>4</v>
      </c>
      <c r="D162" s="350" t="s">
        <v>40</v>
      </c>
      <c r="E162" s="352"/>
      <c r="F162" s="361"/>
      <c r="G162" s="340"/>
      <c r="H162" s="340">
        <v>1</v>
      </c>
      <c r="I162" s="340">
        <v>1.3</v>
      </c>
      <c r="J162" s="346">
        <f t="shared" si="20"/>
        <v>0</v>
      </c>
      <c r="K162" s="352"/>
      <c r="L162" s="361"/>
      <c r="M162" s="340"/>
      <c r="N162" s="340">
        <v>0.95</v>
      </c>
      <c r="O162" s="340">
        <v>1.3</v>
      </c>
      <c r="P162" s="81">
        <f t="shared" si="21"/>
        <v>0</v>
      </c>
    </row>
    <row r="163" spans="1:16" ht="12" customHeight="1">
      <c r="A163" s="590"/>
      <c r="B163" s="350" t="s">
        <v>205</v>
      </c>
      <c r="C163" s="340">
        <v>5</v>
      </c>
      <c r="D163" s="356" t="s">
        <v>41</v>
      </c>
      <c r="E163" s="352"/>
      <c r="F163" s="352"/>
      <c r="G163" s="352"/>
      <c r="H163" s="340">
        <v>1</v>
      </c>
      <c r="I163" s="340">
        <v>1.3</v>
      </c>
      <c r="J163" s="346">
        <f t="shared" si="20"/>
        <v>0</v>
      </c>
      <c r="K163" s="352"/>
      <c r="L163" s="352"/>
      <c r="M163" s="352"/>
      <c r="N163" s="340">
        <v>0.95</v>
      </c>
      <c r="O163" s="340">
        <v>1.3</v>
      </c>
      <c r="P163" s="81">
        <f t="shared" si="21"/>
        <v>0</v>
      </c>
    </row>
    <row r="164" spans="1:16" ht="12" customHeight="1">
      <c r="A164" s="590"/>
      <c r="B164" s="350" t="s">
        <v>155</v>
      </c>
      <c r="C164" s="340">
        <v>6</v>
      </c>
      <c r="D164" s="356" t="s">
        <v>41</v>
      </c>
      <c r="E164" s="352"/>
      <c r="F164" s="352"/>
      <c r="G164" s="352"/>
      <c r="H164" s="340">
        <v>1</v>
      </c>
      <c r="I164" s="340">
        <v>1.3</v>
      </c>
      <c r="J164" s="346">
        <f t="shared" si="20"/>
        <v>0</v>
      </c>
      <c r="K164" s="352"/>
      <c r="L164" s="352"/>
      <c r="M164" s="352"/>
      <c r="N164" s="340">
        <v>0.95</v>
      </c>
      <c r="O164" s="340">
        <v>1.3</v>
      </c>
      <c r="P164" s="81">
        <f t="shared" si="21"/>
        <v>0</v>
      </c>
    </row>
    <row r="165" spans="1:16" ht="12" customHeight="1">
      <c r="A165" s="590"/>
      <c r="B165" s="350" t="s">
        <v>158</v>
      </c>
      <c r="C165" s="340">
        <v>7</v>
      </c>
      <c r="D165" s="356" t="s">
        <v>41</v>
      </c>
      <c r="E165" s="352"/>
      <c r="F165" s="352"/>
      <c r="G165" s="352"/>
      <c r="H165" s="340">
        <v>1</v>
      </c>
      <c r="I165" s="340">
        <v>1.3</v>
      </c>
      <c r="J165" s="346">
        <f t="shared" si="20"/>
        <v>0</v>
      </c>
      <c r="K165" s="352"/>
      <c r="L165" s="352"/>
      <c r="M165" s="352"/>
      <c r="N165" s="340">
        <v>0.95</v>
      </c>
      <c r="O165" s="340">
        <v>1.3</v>
      </c>
      <c r="P165" s="81">
        <f t="shared" si="21"/>
        <v>0</v>
      </c>
    </row>
    <row r="166" spans="1:16" ht="12" customHeight="1">
      <c r="A166" s="590"/>
      <c r="B166" s="350" t="s">
        <v>160</v>
      </c>
      <c r="C166" s="340">
        <v>8</v>
      </c>
      <c r="D166" s="356" t="s">
        <v>41</v>
      </c>
      <c r="E166" s="352"/>
      <c r="F166" s="352"/>
      <c r="G166" s="352"/>
      <c r="H166" s="340">
        <v>1</v>
      </c>
      <c r="I166" s="340">
        <v>1.3</v>
      </c>
      <c r="J166" s="346">
        <f t="shared" si="20"/>
        <v>0</v>
      </c>
      <c r="K166" s="352"/>
      <c r="L166" s="352"/>
      <c r="M166" s="352"/>
      <c r="N166" s="340">
        <v>0.95</v>
      </c>
      <c r="O166" s="340">
        <v>1.3</v>
      </c>
      <c r="P166" s="81">
        <f t="shared" si="21"/>
        <v>0</v>
      </c>
    </row>
    <row r="167" spans="1:16" ht="12" customHeight="1">
      <c r="A167" s="590"/>
      <c r="B167" s="350" t="s">
        <v>164</v>
      </c>
      <c r="C167" s="340">
        <v>9</v>
      </c>
      <c r="D167" s="356" t="s">
        <v>41</v>
      </c>
      <c r="E167" s="352"/>
      <c r="F167" s="352"/>
      <c r="G167" s="352"/>
      <c r="H167" s="340">
        <v>1</v>
      </c>
      <c r="I167" s="340">
        <v>1.3</v>
      </c>
      <c r="J167" s="346">
        <f t="shared" si="20"/>
        <v>0</v>
      </c>
      <c r="K167" s="352"/>
      <c r="L167" s="352"/>
      <c r="M167" s="352"/>
      <c r="N167" s="340">
        <v>0.95</v>
      </c>
      <c r="O167" s="340">
        <v>1.3</v>
      </c>
      <c r="P167" s="81">
        <f t="shared" si="21"/>
        <v>0</v>
      </c>
    </row>
    <row r="168" spans="1:16" ht="12" customHeight="1">
      <c r="A168" s="590"/>
      <c r="B168" s="350" t="s">
        <v>168</v>
      </c>
      <c r="C168" s="340">
        <v>10</v>
      </c>
      <c r="D168" s="340" t="s">
        <v>44</v>
      </c>
      <c r="E168" s="378"/>
      <c r="F168" s="378"/>
      <c r="G168" s="378"/>
      <c r="H168" s="340">
        <v>1</v>
      </c>
      <c r="I168" s="364">
        <v>1.3</v>
      </c>
      <c r="J168" s="377">
        <f t="shared" si="20"/>
        <v>0</v>
      </c>
      <c r="K168" s="352"/>
      <c r="L168" s="361"/>
      <c r="M168" s="340"/>
      <c r="N168" s="340">
        <v>0.95</v>
      </c>
      <c r="O168" s="340">
        <v>1.3</v>
      </c>
      <c r="P168" s="81">
        <f t="shared" si="21"/>
        <v>0</v>
      </c>
    </row>
    <row r="169" spans="1:16" ht="12" customHeight="1">
      <c r="A169" s="590"/>
      <c r="B169" s="350" t="s">
        <v>170</v>
      </c>
      <c r="C169" s="340">
        <v>11</v>
      </c>
      <c r="D169" s="356" t="s">
        <v>41</v>
      </c>
      <c r="E169" s="378"/>
      <c r="F169" s="378"/>
      <c r="G169" s="378"/>
      <c r="H169" s="340">
        <v>1</v>
      </c>
      <c r="I169" s="364">
        <v>1.3</v>
      </c>
      <c r="J169" s="346">
        <f t="shared" si="20"/>
        <v>0</v>
      </c>
      <c r="K169" s="352"/>
      <c r="L169" s="352"/>
      <c r="M169" s="352"/>
      <c r="N169" s="340">
        <v>0.95</v>
      </c>
      <c r="O169" s="340">
        <v>1.3</v>
      </c>
      <c r="P169" s="81">
        <f t="shared" si="21"/>
        <v>0</v>
      </c>
    </row>
    <row r="170" spans="1:16" ht="12" customHeight="1">
      <c r="A170" s="590"/>
      <c r="B170" s="350" t="s">
        <v>207</v>
      </c>
      <c r="C170" s="340">
        <v>12</v>
      </c>
      <c r="D170" s="340" t="s">
        <v>44</v>
      </c>
      <c r="E170" s="352"/>
      <c r="F170" s="361"/>
      <c r="G170" s="340"/>
      <c r="H170" s="340">
        <v>1</v>
      </c>
      <c r="I170" s="340">
        <v>1.3</v>
      </c>
      <c r="J170" s="346">
        <f t="shared" si="20"/>
        <v>0</v>
      </c>
      <c r="K170" s="352"/>
      <c r="L170" s="361"/>
      <c r="M170" s="340"/>
      <c r="N170" s="340">
        <v>0.95</v>
      </c>
      <c r="O170" s="340">
        <v>1.3</v>
      </c>
      <c r="P170" s="81">
        <f t="shared" si="21"/>
        <v>0</v>
      </c>
    </row>
    <row r="171" spans="1:16" ht="12" customHeight="1">
      <c r="A171" s="590"/>
      <c r="B171" s="350" t="s">
        <v>203</v>
      </c>
      <c r="C171" s="340">
        <v>13</v>
      </c>
      <c r="D171" s="340" t="s">
        <v>44</v>
      </c>
      <c r="E171" s="352"/>
      <c r="F171" s="361"/>
      <c r="G171" s="340"/>
      <c r="H171" s="340">
        <v>1</v>
      </c>
      <c r="I171" s="340">
        <v>1.3</v>
      </c>
      <c r="J171" s="346">
        <f t="shared" si="20"/>
        <v>0</v>
      </c>
      <c r="K171" s="352"/>
      <c r="L171" s="361"/>
      <c r="M171" s="340"/>
      <c r="N171" s="340">
        <v>0.95</v>
      </c>
      <c r="O171" s="340">
        <v>1.3</v>
      </c>
      <c r="P171" s="81">
        <f t="shared" si="21"/>
        <v>0</v>
      </c>
    </row>
    <row r="172" spans="1:16" ht="12" customHeight="1">
      <c r="A172" s="590"/>
      <c r="B172" s="350" t="s">
        <v>198</v>
      </c>
      <c r="C172" s="340">
        <v>14</v>
      </c>
      <c r="D172" s="340" t="s">
        <v>44</v>
      </c>
      <c r="E172" s="352"/>
      <c r="F172" s="352"/>
      <c r="G172" s="352"/>
      <c r="H172" s="340">
        <v>1</v>
      </c>
      <c r="I172" s="340">
        <v>1.3</v>
      </c>
      <c r="J172" s="346">
        <f t="shared" si="20"/>
        <v>0</v>
      </c>
      <c r="K172" s="352"/>
      <c r="L172" s="361"/>
      <c r="M172" s="340"/>
      <c r="N172" s="340">
        <v>0.95</v>
      </c>
      <c r="O172" s="340">
        <v>1.3</v>
      </c>
      <c r="P172" s="81">
        <f t="shared" si="21"/>
        <v>0</v>
      </c>
    </row>
    <row r="173" spans="1:16" ht="12" customHeight="1">
      <c r="A173" s="590"/>
      <c r="B173" s="350" t="s">
        <v>199</v>
      </c>
      <c r="C173" s="340">
        <v>15</v>
      </c>
      <c r="D173" s="340" t="s">
        <v>44</v>
      </c>
      <c r="E173" s="352"/>
      <c r="F173" s="361"/>
      <c r="G173" s="340"/>
      <c r="H173" s="340">
        <v>1</v>
      </c>
      <c r="I173" s="340">
        <v>1.3</v>
      </c>
      <c r="J173" s="346">
        <f t="shared" si="20"/>
        <v>0</v>
      </c>
      <c r="K173" s="352"/>
      <c r="L173" s="361"/>
      <c r="M173" s="340"/>
      <c r="N173" s="340">
        <v>0.95</v>
      </c>
      <c r="O173" s="340">
        <v>1.3</v>
      </c>
      <c r="P173" s="81">
        <f t="shared" si="21"/>
        <v>0</v>
      </c>
    </row>
    <row r="174" spans="1:16" ht="12" customHeight="1">
      <c r="A174" s="591"/>
      <c r="B174" s="584" t="s">
        <v>36</v>
      </c>
      <c r="C174" s="584"/>
      <c r="D174" s="584"/>
      <c r="E174" s="358"/>
      <c r="F174" s="359"/>
      <c r="G174" s="339"/>
      <c r="H174" s="339"/>
      <c r="I174" s="339"/>
      <c r="J174" s="346">
        <f>SUM(J159:J173)</f>
        <v>0</v>
      </c>
      <c r="K174" s="368"/>
      <c r="L174" s="359"/>
      <c r="M174" s="371"/>
      <c r="N174" s="340"/>
      <c r="O174" s="340"/>
      <c r="P174" s="81">
        <f>SUM(P159:P173)</f>
        <v>0</v>
      </c>
    </row>
    <row r="175" spans="1:16" ht="12" customHeight="1">
      <c r="A175" s="589" t="s">
        <v>208</v>
      </c>
      <c r="B175" s="350" t="s">
        <v>134</v>
      </c>
      <c r="C175" s="340">
        <v>1</v>
      </c>
      <c r="D175" s="350" t="s">
        <v>40</v>
      </c>
      <c r="E175" s="352"/>
      <c r="F175" s="361"/>
      <c r="G175" s="340"/>
      <c r="H175" s="340">
        <v>1</v>
      </c>
      <c r="I175" s="340">
        <v>1.3</v>
      </c>
      <c r="J175" s="346">
        <f t="shared" ref="J175:J188" si="22">+E175*F175*G175*H175*I175</f>
        <v>0</v>
      </c>
      <c r="K175" s="352"/>
      <c r="L175" s="361"/>
      <c r="M175" s="340"/>
      <c r="N175" s="340">
        <v>0.95</v>
      </c>
      <c r="O175" s="340">
        <v>1.3</v>
      </c>
      <c r="P175" s="81">
        <f t="shared" ref="P175:P188" si="23">+K175*L175*M175*N175*O175</f>
        <v>0</v>
      </c>
    </row>
    <row r="176" spans="1:16" ht="12" customHeight="1">
      <c r="A176" s="590"/>
      <c r="B176" s="350" t="s">
        <v>138</v>
      </c>
      <c r="C176" s="340">
        <v>2</v>
      </c>
      <c r="D176" s="350" t="s">
        <v>40</v>
      </c>
      <c r="E176" s="352"/>
      <c r="F176" s="361"/>
      <c r="G176" s="340"/>
      <c r="H176" s="340">
        <v>1</v>
      </c>
      <c r="I176" s="340">
        <v>1.3</v>
      </c>
      <c r="J176" s="346">
        <f t="shared" si="22"/>
        <v>0</v>
      </c>
      <c r="K176" s="352"/>
      <c r="L176" s="361"/>
      <c r="M176" s="340"/>
      <c r="N176" s="340">
        <v>0.95</v>
      </c>
      <c r="O176" s="340">
        <v>1.3</v>
      </c>
      <c r="P176" s="81">
        <f t="shared" si="23"/>
        <v>0</v>
      </c>
    </row>
    <row r="177" spans="1:16" ht="12" customHeight="1">
      <c r="A177" s="590"/>
      <c r="B177" s="350" t="s">
        <v>141</v>
      </c>
      <c r="C177" s="340">
        <v>3</v>
      </c>
      <c r="D177" s="341" t="s">
        <v>37</v>
      </c>
      <c r="E177" s="352"/>
      <c r="F177" s="361"/>
      <c r="G177" s="340"/>
      <c r="H177" s="340">
        <v>1</v>
      </c>
      <c r="I177" s="340">
        <v>1.3</v>
      </c>
      <c r="J177" s="346">
        <f t="shared" si="22"/>
        <v>0</v>
      </c>
      <c r="K177" s="352"/>
      <c r="L177" s="361"/>
      <c r="M177" s="340"/>
      <c r="N177" s="340">
        <v>0.95</v>
      </c>
      <c r="O177" s="340">
        <v>1.3</v>
      </c>
      <c r="P177" s="81">
        <f t="shared" si="23"/>
        <v>0</v>
      </c>
    </row>
    <row r="178" spans="1:16" ht="12" customHeight="1">
      <c r="A178" s="590"/>
      <c r="B178" s="350" t="s">
        <v>154</v>
      </c>
      <c r="C178" s="340">
        <v>4</v>
      </c>
      <c r="D178" s="350" t="s">
        <v>40</v>
      </c>
      <c r="E178" s="352"/>
      <c r="F178" s="352"/>
      <c r="G178" s="352"/>
      <c r="H178" s="340">
        <v>1</v>
      </c>
      <c r="I178" s="340">
        <v>1.3</v>
      </c>
      <c r="J178" s="346">
        <f t="shared" si="22"/>
        <v>0</v>
      </c>
      <c r="K178" s="352"/>
      <c r="L178" s="352"/>
      <c r="M178" s="352"/>
      <c r="N178" s="340">
        <v>0.95</v>
      </c>
      <c r="O178" s="340">
        <v>1.3</v>
      </c>
      <c r="P178" s="81">
        <f t="shared" si="23"/>
        <v>0</v>
      </c>
    </row>
    <row r="179" spans="1:16" ht="12" customHeight="1">
      <c r="A179" s="590"/>
      <c r="B179" s="350" t="s">
        <v>205</v>
      </c>
      <c r="C179" s="340">
        <v>5</v>
      </c>
      <c r="D179" s="356" t="s">
        <v>41</v>
      </c>
      <c r="E179" s="378"/>
      <c r="F179" s="379"/>
      <c r="G179" s="364"/>
      <c r="H179" s="340">
        <v>1</v>
      </c>
      <c r="I179" s="364">
        <v>1.3</v>
      </c>
      <c r="J179" s="377">
        <f t="shared" si="22"/>
        <v>0</v>
      </c>
      <c r="K179" s="352"/>
      <c r="L179" s="361"/>
      <c r="M179" s="340"/>
      <c r="N179" s="340">
        <v>0.95</v>
      </c>
      <c r="O179" s="340">
        <v>1.3</v>
      </c>
      <c r="P179" s="81">
        <f t="shared" si="23"/>
        <v>0</v>
      </c>
    </row>
    <row r="180" spans="1:16" ht="12" customHeight="1">
      <c r="A180" s="590"/>
      <c r="B180" s="350" t="s">
        <v>155</v>
      </c>
      <c r="C180" s="340">
        <v>6</v>
      </c>
      <c r="D180" s="356" t="s">
        <v>41</v>
      </c>
      <c r="E180" s="352"/>
      <c r="F180" s="361"/>
      <c r="G180" s="340"/>
      <c r="H180" s="340">
        <v>1</v>
      </c>
      <c r="I180" s="340">
        <v>1.3</v>
      </c>
      <c r="J180" s="346">
        <f t="shared" si="22"/>
        <v>0</v>
      </c>
      <c r="K180" s="352"/>
      <c r="L180" s="361"/>
      <c r="M180" s="340"/>
      <c r="N180" s="340">
        <v>0.95</v>
      </c>
      <c r="O180" s="340">
        <v>1.3</v>
      </c>
      <c r="P180" s="81">
        <f t="shared" si="23"/>
        <v>0</v>
      </c>
    </row>
    <row r="181" spans="1:16" ht="12" customHeight="1">
      <c r="A181" s="590"/>
      <c r="B181" s="350" t="s">
        <v>164</v>
      </c>
      <c r="C181" s="340">
        <v>7</v>
      </c>
      <c r="D181" s="356" t="s">
        <v>41</v>
      </c>
      <c r="E181" s="352"/>
      <c r="F181" s="361"/>
      <c r="G181" s="340"/>
      <c r="H181" s="340">
        <v>1</v>
      </c>
      <c r="I181" s="340">
        <v>1.3</v>
      </c>
      <c r="J181" s="346">
        <f t="shared" si="22"/>
        <v>0</v>
      </c>
      <c r="K181" s="352"/>
      <c r="L181" s="361"/>
      <c r="M181" s="340"/>
      <c r="N181" s="340">
        <v>0.95</v>
      </c>
      <c r="O181" s="340">
        <v>1.3</v>
      </c>
      <c r="P181" s="81">
        <f t="shared" si="23"/>
        <v>0</v>
      </c>
    </row>
    <row r="182" spans="1:16" ht="12" customHeight="1">
      <c r="A182" s="590"/>
      <c r="B182" s="350" t="s">
        <v>168</v>
      </c>
      <c r="C182" s="340">
        <v>8</v>
      </c>
      <c r="D182" s="340" t="s">
        <v>44</v>
      </c>
      <c r="E182" s="352"/>
      <c r="F182" s="361"/>
      <c r="G182" s="340"/>
      <c r="H182" s="340">
        <v>1</v>
      </c>
      <c r="I182" s="340">
        <v>1.3</v>
      </c>
      <c r="J182" s="346">
        <f t="shared" si="22"/>
        <v>0</v>
      </c>
      <c r="K182" s="352"/>
      <c r="L182" s="361"/>
      <c r="M182" s="340"/>
      <c r="N182" s="340">
        <v>0.95</v>
      </c>
      <c r="O182" s="340">
        <v>1.3</v>
      </c>
      <c r="P182" s="81">
        <f t="shared" si="23"/>
        <v>0</v>
      </c>
    </row>
    <row r="183" spans="1:16" ht="12" customHeight="1">
      <c r="A183" s="590"/>
      <c r="B183" s="350" t="s">
        <v>170</v>
      </c>
      <c r="C183" s="340">
        <v>9</v>
      </c>
      <c r="D183" s="356" t="s">
        <v>41</v>
      </c>
      <c r="E183" s="352"/>
      <c r="F183" s="361"/>
      <c r="G183" s="340"/>
      <c r="H183" s="340">
        <v>1</v>
      </c>
      <c r="I183" s="340">
        <v>1.3</v>
      </c>
      <c r="J183" s="346">
        <f t="shared" si="22"/>
        <v>0</v>
      </c>
      <c r="K183" s="352"/>
      <c r="L183" s="361"/>
      <c r="M183" s="340"/>
      <c r="N183" s="340">
        <v>0.95</v>
      </c>
      <c r="O183" s="340">
        <v>1.3</v>
      </c>
      <c r="P183" s="81">
        <f t="shared" si="23"/>
        <v>0</v>
      </c>
    </row>
    <row r="184" spans="1:16" ht="12" customHeight="1">
      <c r="A184" s="590"/>
      <c r="B184" s="350" t="s">
        <v>207</v>
      </c>
      <c r="C184" s="340">
        <v>10</v>
      </c>
      <c r="D184" s="356" t="s">
        <v>41</v>
      </c>
      <c r="E184" s="352"/>
      <c r="F184" s="361"/>
      <c r="G184" s="340"/>
      <c r="H184" s="340">
        <v>1</v>
      </c>
      <c r="I184" s="340">
        <v>1.3</v>
      </c>
      <c r="J184" s="346">
        <f t="shared" si="22"/>
        <v>0</v>
      </c>
      <c r="K184" s="352"/>
      <c r="L184" s="361"/>
      <c r="M184" s="340"/>
      <c r="N184" s="340">
        <v>0.95</v>
      </c>
      <c r="O184" s="340">
        <v>1.3</v>
      </c>
      <c r="P184" s="81">
        <f t="shared" si="23"/>
        <v>0</v>
      </c>
    </row>
    <row r="185" spans="1:16" ht="12" customHeight="1">
      <c r="A185" s="590"/>
      <c r="B185" s="350" t="s">
        <v>209</v>
      </c>
      <c r="C185" s="340">
        <v>11</v>
      </c>
      <c r="D185" s="340" t="s">
        <v>44</v>
      </c>
      <c r="E185" s="352"/>
      <c r="F185" s="361"/>
      <c r="G185" s="340"/>
      <c r="H185" s="340">
        <v>1</v>
      </c>
      <c r="I185" s="340">
        <v>1.3</v>
      </c>
      <c r="J185" s="346">
        <f t="shared" si="22"/>
        <v>0</v>
      </c>
      <c r="K185" s="352"/>
      <c r="L185" s="361"/>
      <c r="M185" s="340"/>
      <c r="N185" s="340">
        <v>0.95</v>
      </c>
      <c r="O185" s="340">
        <v>1.3</v>
      </c>
      <c r="P185" s="81">
        <f t="shared" si="23"/>
        <v>0</v>
      </c>
    </row>
    <row r="186" spans="1:16" ht="12" customHeight="1">
      <c r="A186" s="590"/>
      <c r="B186" s="350" t="s">
        <v>203</v>
      </c>
      <c r="C186" s="340">
        <v>12</v>
      </c>
      <c r="D186" s="340" t="s">
        <v>44</v>
      </c>
      <c r="E186" s="352"/>
      <c r="F186" s="361"/>
      <c r="G186" s="340"/>
      <c r="H186" s="340">
        <v>1</v>
      </c>
      <c r="I186" s="340">
        <v>1.3</v>
      </c>
      <c r="J186" s="346">
        <f t="shared" si="22"/>
        <v>0</v>
      </c>
      <c r="K186" s="352"/>
      <c r="L186" s="361"/>
      <c r="M186" s="340"/>
      <c r="N186" s="340">
        <v>0.95</v>
      </c>
      <c r="O186" s="340">
        <v>1.3</v>
      </c>
      <c r="P186" s="81">
        <f t="shared" si="23"/>
        <v>0</v>
      </c>
    </row>
    <row r="187" spans="1:16" ht="12" customHeight="1">
      <c r="A187" s="590"/>
      <c r="B187" s="350" t="s">
        <v>198</v>
      </c>
      <c r="C187" s="340">
        <v>13</v>
      </c>
      <c r="D187" s="340" t="s">
        <v>44</v>
      </c>
      <c r="E187" s="352"/>
      <c r="F187" s="361"/>
      <c r="G187" s="340"/>
      <c r="H187" s="340">
        <v>1</v>
      </c>
      <c r="I187" s="340">
        <v>1.3</v>
      </c>
      <c r="J187" s="346">
        <f t="shared" si="22"/>
        <v>0</v>
      </c>
      <c r="K187" s="352"/>
      <c r="L187" s="361"/>
      <c r="M187" s="340"/>
      <c r="N187" s="340">
        <v>0.95</v>
      </c>
      <c r="O187" s="340">
        <v>1.3</v>
      </c>
      <c r="P187" s="81">
        <f t="shared" si="23"/>
        <v>0</v>
      </c>
    </row>
    <row r="188" spans="1:16" ht="12" customHeight="1">
      <c r="A188" s="590"/>
      <c r="B188" s="350" t="s">
        <v>199</v>
      </c>
      <c r="C188" s="340">
        <v>14</v>
      </c>
      <c r="D188" s="340" t="s">
        <v>44</v>
      </c>
      <c r="E188" s="352"/>
      <c r="F188" s="361"/>
      <c r="G188" s="340"/>
      <c r="H188" s="340">
        <v>0.9</v>
      </c>
      <c r="I188" s="340">
        <v>1.3</v>
      </c>
      <c r="J188" s="346">
        <f t="shared" si="22"/>
        <v>0</v>
      </c>
      <c r="K188" s="352"/>
      <c r="L188" s="361"/>
      <c r="M188" s="340"/>
      <c r="N188" s="340">
        <v>0.9</v>
      </c>
      <c r="O188" s="340">
        <v>1.3</v>
      </c>
      <c r="P188" s="81">
        <f t="shared" si="23"/>
        <v>0</v>
      </c>
    </row>
    <row r="189" spans="1:16" ht="12" customHeight="1">
      <c r="A189" s="591"/>
      <c r="B189" s="584" t="s">
        <v>36</v>
      </c>
      <c r="C189" s="584"/>
      <c r="D189" s="584"/>
      <c r="E189" s="358"/>
      <c r="F189" s="359"/>
      <c r="G189" s="339"/>
      <c r="H189" s="339"/>
      <c r="I189" s="339"/>
      <c r="J189" s="346">
        <f>SUM(J175:J188)</f>
        <v>0</v>
      </c>
      <c r="K189" s="368"/>
      <c r="L189" s="359"/>
      <c r="M189" s="371"/>
      <c r="N189" s="340"/>
      <c r="O189" s="340"/>
      <c r="P189" s="81">
        <f>SUM(P175:P188)</f>
        <v>0</v>
      </c>
    </row>
    <row r="190" spans="1:16" ht="12" customHeight="1">
      <c r="A190" s="589" t="s">
        <v>210</v>
      </c>
      <c r="B190" s="350" t="s">
        <v>134</v>
      </c>
      <c r="C190" s="340">
        <v>1</v>
      </c>
      <c r="D190" s="341" t="s">
        <v>37</v>
      </c>
      <c r="E190" s="352"/>
      <c r="F190" s="352"/>
      <c r="G190" s="340"/>
      <c r="H190" s="340">
        <v>1</v>
      </c>
      <c r="I190" s="340">
        <v>1.3</v>
      </c>
      <c r="J190" s="346">
        <f t="shared" ref="J190:J205" si="24">+E190*F190*G190*H190*I190</f>
        <v>0</v>
      </c>
      <c r="K190" s="352"/>
      <c r="L190" s="361"/>
      <c r="M190" s="340"/>
      <c r="N190" s="340">
        <v>0.95</v>
      </c>
      <c r="O190" s="340">
        <v>1.3</v>
      </c>
      <c r="P190" s="81">
        <f t="shared" ref="P190:P205" si="25">+K190*L190*M190*N190*O190</f>
        <v>0</v>
      </c>
    </row>
    <row r="191" spans="1:16" ht="12" customHeight="1">
      <c r="A191" s="590"/>
      <c r="B191" s="350" t="s">
        <v>138</v>
      </c>
      <c r="C191" s="340">
        <v>2</v>
      </c>
      <c r="D191" s="341" t="s">
        <v>37</v>
      </c>
      <c r="E191" s="352"/>
      <c r="F191" s="352"/>
      <c r="G191" s="340"/>
      <c r="H191" s="340">
        <v>1</v>
      </c>
      <c r="I191" s="340">
        <v>1.3</v>
      </c>
      <c r="J191" s="346">
        <f t="shared" si="24"/>
        <v>0</v>
      </c>
      <c r="K191" s="352"/>
      <c r="L191" s="361"/>
      <c r="M191" s="340"/>
      <c r="N191" s="340">
        <v>0.95</v>
      </c>
      <c r="O191" s="340">
        <v>1.3</v>
      </c>
      <c r="P191" s="81">
        <f t="shared" si="25"/>
        <v>0</v>
      </c>
    </row>
    <row r="192" spans="1:16" ht="12" customHeight="1">
      <c r="A192" s="590"/>
      <c r="B192" s="350" t="s">
        <v>141</v>
      </c>
      <c r="C192" s="340">
        <v>3</v>
      </c>
      <c r="D192" s="350" t="s">
        <v>40</v>
      </c>
      <c r="E192" s="352"/>
      <c r="F192" s="361"/>
      <c r="G192" s="340"/>
      <c r="H192" s="340">
        <v>1</v>
      </c>
      <c r="I192" s="340">
        <v>1.3</v>
      </c>
      <c r="J192" s="346">
        <f t="shared" si="24"/>
        <v>0</v>
      </c>
      <c r="K192" s="352"/>
      <c r="L192" s="361"/>
      <c r="M192" s="340"/>
      <c r="N192" s="340">
        <v>0.95</v>
      </c>
      <c r="O192" s="340">
        <v>1.3</v>
      </c>
      <c r="P192" s="81">
        <f t="shared" si="25"/>
        <v>0</v>
      </c>
    </row>
    <row r="193" spans="1:16" ht="12" customHeight="1">
      <c r="A193" s="590"/>
      <c r="B193" s="350" t="s">
        <v>154</v>
      </c>
      <c r="C193" s="340">
        <v>4</v>
      </c>
      <c r="D193" s="350" t="s">
        <v>40</v>
      </c>
      <c r="E193" s="352"/>
      <c r="F193" s="361"/>
      <c r="G193" s="340"/>
      <c r="H193" s="340">
        <v>1</v>
      </c>
      <c r="I193" s="340">
        <v>1.3</v>
      </c>
      <c r="J193" s="346">
        <f t="shared" si="24"/>
        <v>0</v>
      </c>
      <c r="K193" s="352"/>
      <c r="L193" s="361"/>
      <c r="M193" s="340"/>
      <c r="N193" s="340">
        <v>0.95</v>
      </c>
      <c r="O193" s="340">
        <v>1.3</v>
      </c>
      <c r="P193" s="81">
        <f t="shared" si="25"/>
        <v>0</v>
      </c>
    </row>
    <row r="194" spans="1:16" ht="12" customHeight="1">
      <c r="A194" s="590"/>
      <c r="B194" s="350" t="s">
        <v>205</v>
      </c>
      <c r="C194" s="340">
        <v>5</v>
      </c>
      <c r="D194" s="356" t="s">
        <v>41</v>
      </c>
      <c r="E194" s="352"/>
      <c r="F194" s="352"/>
      <c r="G194" s="352"/>
      <c r="H194" s="340">
        <v>1</v>
      </c>
      <c r="I194" s="340">
        <v>1.3</v>
      </c>
      <c r="J194" s="346">
        <f t="shared" si="24"/>
        <v>0</v>
      </c>
      <c r="K194" s="352"/>
      <c r="L194" s="361"/>
      <c r="M194" s="340"/>
      <c r="N194" s="340">
        <v>0.95</v>
      </c>
      <c r="O194" s="340">
        <v>1.3</v>
      </c>
      <c r="P194" s="81">
        <f t="shared" si="25"/>
        <v>0</v>
      </c>
    </row>
    <row r="195" spans="1:16" ht="12" customHeight="1">
      <c r="A195" s="590"/>
      <c r="B195" s="350" t="s">
        <v>155</v>
      </c>
      <c r="C195" s="340">
        <v>6</v>
      </c>
      <c r="D195" s="350" t="s">
        <v>40</v>
      </c>
      <c r="E195" s="352"/>
      <c r="F195" s="361"/>
      <c r="G195" s="340"/>
      <c r="H195" s="340">
        <v>1</v>
      </c>
      <c r="I195" s="340">
        <v>1.3</v>
      </c>
      <c r="J195" s="346">
        <f t="shared" si="24"/>
        <v>0</v>
      </c>
      <c r="K195" s="352"/>
      <c r="L195" s="361"/>
      <c r="M195" s="340"/>
      <c r="N195" s="340">
        <v>0.95</v>
      </c>
      <c r="O195" s="340">
        <v>1.3</v>
      </c>
      <c r="P195" s="81">
        <f t="shared" si="25"/>
        <v>0</v>
      </c>
    </row>
    <row r="196" spans="1:16" ht="12" customHeight="1">
      <c r="A196" s="590"/>
      <c r="B196" s="350" t="s">
        <v>160</v>
      </c>
      <c r="C196" s="340">
        <v>7</v>
      </c>
      <c r="D196" s="350" t="s">
        <v>40</v>
      </c>
      <c r="E196" s="352"/>
      <c r="F196" s="361"/>
      <c r="G196" s="340"/>
      <c r="H196" s="340">
        <v>1</v>
      </c>
      <c r="I196" s="340">
        <v>1.3</v>
      </c>
      <c r="J196" s="346">
        <f t="shared" si="24"/>
        <v>0</v>
      </c>
      <c r="K196" s="352"/>
      <c r="L196" s="361"/>
      <c r="M196" s="340"/>
      <c r="N196" s="340">
        <v>0.95</v>
      </c>
      <c r="O196" s="340">
        <v>1.3</v>
      </c>
      <c r="P196" s="81">
        <f t="shared" si="25"/>
        <v>0</v>
      </c>
    </row>
    <row r="197" spans="1:16" ht="12" customHeight="1">
      <c r="A197" s="590"/>
      <c r="B197" s="350" t="s">
        <v>164</v>
      </c>
      <c r="C197" s="340">
        <v>8</v>
      </c>
      <c r="D197" s="356" t="s">
        <v>41</v>
      </c>
      <c r="E197" s="352"/>
      <c r="F197" s="361"/>
      <c r="G197" s="340"/>
      <c r="H197" s="340">
        <v>1</v>
      </c>
      <c r="I197" s="340">
        <v>1.3</v>
      </c>
      <c r="J197" s="346">
        <f t="shared" si="24"/>
        <v>0</v>
      </c>
      <c r="K197" s="352"/>
      <c r="L197" s="361"/>
      <c r="M197" s="340"/>
      <c r="N197" s="340">
        <v>0.95</v>
      </c>
      <c r="O197" s="340">
        <v>1.3</v>
      </c>
      <c r="P197" s="81">
        <f t="shared" si="25"/>
        <v>0</v>
      </c>
    </row>
    <row r="198" spans="1:16" ht="12" customHeight="1">
      <c r="A198" s="590"/>
      <c r="B198" s="350" t="s">
        <v>168</v>
      </c>
      <c r="C198" s="340">
        <v>9</v>
      </c>
      <c r="D198" s="340" t="s">
        <v>44</v>
      </c>
      <c r="E198" s="352"/>
      <c r="F198" s="361"/>
      <c r="G198" s="340"/>
      <c r="H198" s="340">
        <v>1</v>
      </c>
      <c r="I198" s="340">
        <v>1.3</v>
      </c>
      <c r="J198" s="346">
        <f t="shared" si="24"/>
        <v>0</v>
      </c>
      <c r="K198" s="352"/>
      <c r="L198" s="361"/>
      <c r="M198" s="340"/>
      <c r="N198" s="340">
        <v>0.95</v>
      </c>
      <c r="O198" s="340">
        <v>1.3</v>
      </c>
      <c r="P198" s="81">
        <f t="shared" si="25"/>
        <v>0</v>
      </c>
    </row>
    <row r="199" spans="1:16" ht="12" customHeight="1">
      <c r="A199" s="590"/>
      <c r="B199" s="350" t="s">
        <v>170</v>
      </c>
      <c r="C199" s="340">
        <v>10</v>
      </c>
      <c r="D199" s="356" t="s">
        <v>41</v>
      </c>
      <c r="E199" s="352"/>
      <c r="F199" s="361"/>
      <c r="G199" s="340"/>
      <c r="H199" s="340">
        <v>1</v>
      </c>
      <c r="I199" s="340">
        <v>1.3</v>
      </c>
      <c r="J199" s="346">
        <f t="shared" si="24"/>
        <v>0</v>
      </c>
      <c r="K199" s="352"/>
      <c r="L199" s="361"/>
      <c r="M199" s="340"/>
      <c r="N199" s="340">
        <v>0.95</v>
      </c>
      <c r="O199" s="340">
        <v>1.3</v>
      </c>
      <c r="P199" s="81">
        <f t="shared" si="25"/>
        <v>0</v>
      </c>
    </row>
    <row r="200" spans="1:16" ht="12" customHeight="1">
      <c r="A200" s="590"/>
      <c r="B200" s="350" t="s">
        <v>207</v>
      </c>
      <c r="C200" s="340">
        <v>11</v>
      </c>
      <c r="D200" s="356" t="s">
        <v>41</v>
      </c>
      <c r="E200" s="352"/>
      <c r="F200" s="361"/>
      <c r="G200" s="340"/>
      <c r="H200" s="340">
        <v>1</v>
      </c>
      <c r="I200" s="340">
        <v>1.3</v>
      </c>
      <c r="J200" s="346">
        <f t="shared" si="24"/>
        <v>0</v>
      </c>
      <c r="K200" s="352"/>
      <c r="L200" s="361"/>
      <c r="M200" s="340"/>
      <c r="N200" s="340">
        <v>0.95</v>
      </c>
      <c r="O200" s="340">
        <v>1.3</v>
      </c>
      <c r="P200" s="81">
        <f t="shared" si="25"/>
        <v>0</v>
      </c>
    </row>
    <row r="201" spans="1:16" ht="12" customHeight="1">
      <c r="A201" s="590"/>
      <c r="B201" s="350" t="s">
        <v>209</v>
      </c>
      <c r="C201" s="340">
        <v>12</v>
      </c>
      <c r="D201" s="340" t="s">
        <v>44</v>
      </c>
      <c r="E201" s="352"/>
      <c r="F201" s="361"/>
      <c r="G201" s="340"/>
      <c r="H201" s="340">
        <v>1</v>
      </c>
      <c r="I201" s="340">
        <v>1.3</v>
      </c>
      <c r="J201" s="346">
        <f t="shared" si="24"/>
        <v>0</v>
      </c>
      <c r="K201" s="352"/>
      <c r="L201" s="361"/>
      <c r="M201" s="340"/>
      <c r="N201" s="340">
        <v>0.95</v>
      </c>
      <c r="O201" s="340">
        <v>1.3</v>
      </c>
      <c r="P201" s="81">
        <f t="shared" si="25"/>
        <v>0</v>
      </c>
    </row>
    <row r="202" spans="1:16" ht="12" customHeight="1">
      <c r="A202" s="590"/>
      <c r="B202" s="350" t="s">
        <v>203</v>
      </c>
      <c r="C202" s="340">
        <v>13</v>
      </c>
      <c r="D202" s="340" t="s">
        <v>44</v>
      </c>
      <c r="E202" s="378"/>
      <c r="F202" s="379"/>
      <c r="G202" s="364"/>
      <c r="H202" s="340">
        <v>1</v>
      </c>
      <c r="I202" s="364">
        <v>1.3</v>
      </c>
      <c r="J202" s="346">
        <f t="shared" si="24"/>
        <v>0</v>
      </c>
      <c r="K202" s="352"/>
      <c r="L202" s="361"/>
      <c r="M202" s="340"/>
      <c r="N202" s="340">
        <v>0.95</v>
      </c>
      <c r="O202" s="340">
        <v>1.3</v>
      </c>
      <c r="P202" s="81">
        <f t="shared" si="25"/>
        <v>0</v>
      </c>
    </row>
    <row r="203" spans="1:16" ht="12" customHeight="1">
      <c r="A203" s="590"/>
      <c r="B203" s="350" t="s">
        <v>198</v>
      </c>
      <c r="C203" s="340">
        <v>14</v>
      </c>
      <c r="D203" s="340" t="s">
        <v>44</v>
      </c>
      <c r="E203" s="352"/>
      <c r="F203" s="361"/>
      <c r="G203" s="340"/>
      <c r="H203" s="340">
        <v>1</v>
      </c>
      <c r="I203" s="340">
        <v>1.3</v>
      </c>
      <c r="J203" s="346">
        <f t="shared" si="24"/>
        <v>0</v>
      </c>
      <c r="K203" s="352"/>
      <c r="L203" s="361"/>
      <c r="M203" s="340"/>
      <c r="N203" s="340">
        <v>0.95</v>
      </c>
      <c r="O203" s="340">
        <v>1.3</v>
      </c>
      <c r="P203" s="81">
        <f t="shared" si="25"/>
        <v>0</v>
      </c>
    </row>
    <row r="204" spans="1:16" ht="12" customHeight="1">
      <c r="A204" s="590"/>
      <c r="B204" s="350" t="s">
        <v>201</v>
      </c>
      <c r="C204" s="340">
        <v>15</v>
      </c>
      <c r="D204" s="340" t="s">
        <v>44</v>
      </c>
      <c r="E204" s="352"/>
      <c r="F204" s="361"/>
      <c r="G204" s="340"/>
      <c r="H204" s="340">
        <v>1</v>
      </c>
      <c r="I204" s="340">
        <v>1.3</v>
      </c>
      <c r="J204" s="346">
        <f t="shared" si="24"/>
        <v>0</v>
      </c>
      <c r="K204" s="352"/>
      <c r="L204" s="361"/>
      <c r="M204" s="340"/>
      <c r="N204" s="340">
        <v>0.95</v>
      </c>
      <c r="O204" s="340">
        <v>1.3</v>
      </c>
      <c r="P204" s="81">
        <f t="shared" si="25"/>
        <v>0</v>
      </c>
    </row>
    <row r="205" spans="1:16" ht="12" customHeight="1">
      <c r="A205" s="590"/>
      <c r="B205" s="350" t="s">
        <v>199</v>
      </c>
      <c r="C205" s="340">
        <v>16</v>
      </c>
      <c r="D205" s="340" t="s">
        <v>44</v>
      </c>
      <c r="E205" s="352"/>
      <c r="F205" s="361"/>
      <c r="G205" s="340"/>
      <c r="H205" s="340">
        <v>0.9</v>
      </c>
      <c r="I205" s="340">
        <v>1.3</v>
      </c>
      <c r="J205" s="346">
        <f t="shared" si="24"/>
        <v>0</v>
      </c>
      <c r="K205" s="352"/>
      <c r="L205" s="361"/>
      <c r="M205" s="340"/>
      <c r="N205" s="340">
        <v>0.9</v>
      </c>
      <c r="O205" s="340">
        <v>1.3</v>
      </c>
      <c r="P205" s="81">
        <f t="shared" si="25"/>
        <v>0</v>
      </c>
    </row>
    <row r="206" spans="1:16" ht="12" customHeight="1">
      <c r="A206" s="591"/>
      <c r="B206" s="584" t="s">
        <v>36</v>
      </c>
      <c r="C206" s="584"/>
      <c r="D206" s="584"/>
      <c r="E206" s="358"/>
      <c r="F206" s="359"/>
      <c r="G206" s="339"/>
      <c r="H206" s="339"/>
      <c r="I206" s="339"/>
      <c r="J206" s="346">
        <f>SUM(J190:J205)</f>
        <v>0</v>
      </c>
      <c r="K206" s="368"/>
      <c r="L206" s="359"/>
      <c r="M206" s="371"/>
      <c r="N206" s="340"/>
      <c r="O206" s="340"/>
      <c r="P206" s="81">
        <f>SUM(P190:P205)</f>
        <v>0</v>
      </c>
    </row>
    <row r="207" spans="1:16" ht="12" customHeight="1">
      <c r="A207" s="589" t="s">
        <v>211</v>
      </c>
      <c r="B207" s="350" t="s">
        <v>134</v>
      </c>
      <c r="C207" s="340">
        <v>1</v>
      </c>
      <c r="D207" s="350" t="s">
        <v>40</v>
      </c>
      <c r="E207" s="340"/>
      <c r="F207" s="372"/>
      <c r="G207" s="373"/>
      <c r="H207" s="340">
        <v>1</v>
      </c>
      <c r="I207" s="340">
        <v>1.3</v>
      </c>
      <c r="J207" s="346">
        <f t="shared" ref="J207:J210" si="26">+E207*F207*G207*H207*I207</f>
        <v>0</v>
      </c>
      <c r="K207" s="310"/>
      <c r="L207" s="361"/>
      <c r="M207" s="340"/>
      <c r="N207" s="340">
        <v>0.95</v>
      </c>
      <c r="O207" s="340">
        <v>1.3</v>
      </c>
      <c r="P207" s="81">
        <f t="shared" ref="P207:P220" si="27">+K207*L207*M207*N207*O207</f>
        <v>0</v>
      </c>
    </row>
    <row r="208" spans="1:16" ht="12" customHeight="1">
      <c r="A208" s="590"/>
      <c r="B208" s="350" t="s">
        <v>138</v>
      </c>
      <c r="C208" s="340">
        <v>2</v>
      </c>
      <c r="D208" s="350" t="s">
        <v>40</v>
      </c>
      <c r="E208" s="340"/>
      <c r="F208" s="372"/>
      <c r="G208" s="373"/>
      <c r="H208" s="340">
        <v>1</v>
      </c>
      <c r="I208" s="340">
        <v>1.3</v>
      </c>
      <c r="J208" s="346">
        <f t="shared" si="26"/>
        <v>0</v>
      </c>
      <c r="K208" s="310"/>
      <c r="L208" s="361"/>
      <c r="M208" s="340"/>
      <c r="N208" s="340">
        <v>0.95</v>
      </c>
      <c r="O208" s="340">
        <v>1.3</v>
      </c>
      <c r="P208" s="81">
        <f t="shared" si="27"/>
        <v>0</v>
      </c>
    </row>
    <row r="209" spans="1:16" ht="12" customHeight="1">
      <c r="A209" s="590"/>
      <c r="B209" s="350" t="s">
        <v>141</v>
      </c>
      <c r="C209" s="340">
        <v>3</v>
      </c>
      <c r="D209" s="350" t="s">
        <v>40</v>
      </c>
      <c r="E209" s="340"/>
      <c r="F209" s="372"/>
      <c r="G209" s="373"/>
      <c r="H209" s="340">
        <v>1</v>
      </c>
      <c r="I209" s="340">
        <v>1.3</v>
      </c>
      <c r="J209" s="346">
        <f t="shared" si="26"/>
        <v>0</v>
      </c>
      <c r="K209" s="310"/>
      <c r="L209" s="361"/>
      <c r="M209" s="340"/>
      <c r="N209" s="340">
        <v>0.95</v>
      </c>
      <c r="O209" s="340">
        <v>1.3</v>
      </c>
      <c r="P209" s="81">
        <f t="shared" si="27"/>
        <v>0</v>
      </c>
    </row>
    <row r="210" spans="1:16" ht="12" customHeight="1">
      <c r="A210" s="590"/>
      <c r="B210" s="350" t="s">
        <v>154</v>
      </c>
      <c r="C210" s="340">
        <v>4</v>
      </c>
      <c r="D210" s="356" t="s">
        <v>41</v>
      </c>
      <c r="E210" s="340"/>
      <c r="F210" s="372"/>
      <c r="G210" s="373"/>
      <c r="H210" s="340">
        <v>1</v>
      </c>
      <c r="I210" s="340">
        <v>1.3</v>
      </c>
      <c r="J210" s="346">
        <f t="shared" si="26"/>
        <v>0</v>
      </c>
      <c r="K210" s="310"/>
      <c r="L210" s="361"/>
      <c r="M210" s="340"/>
      <c r="N210" s="340">
        <v>0.95</v>
      </c>
      <c r="O210" s="340">
        <v>1.3</v>
      </c>
      <c r="P210" s="81">
        <f t="shared" si="27"/>
        <v>0</v>
      </c>
    </row>
    <row r="211" spans="1:16" ht="12" customHeight="1">
      <c r="A211" s="590"/>
      <c r="B211" s="350" t="s">
        <v>205</v>
      </c>
      <c r="C211" s="340">
        <v>5</v>
      </c>
      <c r="D211" s="356" t="s">
        <v>41</v>
      </c>
      <c r="E211" s="352"/>
      <c r="F211" s="361"/>
      <c r="G211" s="340"/>
      <c r="H211" s="340">
        <v>1</v>
      </c>
      <c r="I211" s="340">
        <v>1.3</v>
      </c>
      <c r="J211" s="346">
        <f t="shared" ref="J211:J220" si="28">+E211*F211*G211*H211*I211</f>
        <v>0</v>
      </c>
      <c r="K211" s="352"/>
      <c r="L211" s="361"/>
      <c r="M211" s="340"/>
      <c r="N211" s="340">
        <v>0.95</v>
      </c>
      <c r="O211" s="340">
        <v>1.3</v>
      </c>
      <c r="P211" s="81">
        <f t="shared" si="27"/>
        <v>0</v>
      </c>
    </row>
    <row r="212" spans="1:16" ht="12" customHeight="1">
      <c r="A212" s="590"/>
      <c r="B212" s="350" t="s">
        <v>155</v>
      </c>
      <c r="C212" s="340">
        <v>6</v>
      </c>
      <c r="D212" s="356" t="s">
        <v>41</v>
      </c>
      <c r="E212" s="352"/>
      <c r="F212" s="361"/>
      <c r="G212" s="340"/>
      <c r="H212" s="340">
        <v>1</v>
      </c>
      <c r="I212" s="340">
        <v>1.3</v>
      </c>
      <c r="J212" s="346">
        <f t="shared" si="28"/>
        <v>0</v>
      </c>
      <c r="K212" s="352"/>
      <c r="L212" s="361"/>
      <c r="M212" s="340"/>
      <c r="N212" s="340">
        <v>0.95</v>
      </c>
      <c r="O212" s="340">
        <v>1.3</v>
      </c>
      <c r="P212" s="81">
        <f t="shared" si="27"/>
        <v>0</v>
      </c>
    </row>
    <row r="213" spans="1:16" ht="12" customHeight="1">
      <c r="A213" s="590"/>
      <c r="B213" s="350" t="s">
        <v>164</v>
      </c>
      <c r="C213" s="340">
        <v>7</v>
      </c>
      <c r="D213" s="356" t="s">
        <v>41</v>
      </c>
      <c r="E213" s="352"/>
      <c r="F213" s="361"/>
      <c r="G213" s="340"/>
      <c r="H213" s="340">
        <v>1</v>
      </c>
      <c r="I213" s="340">
        <v>1.3</v>
      </c>
      <c r="J213" s="346">
        <f t="shared" si="28"/>
        <v>0</v>
      </c>
      <c r="K213" s="352"/>
      <c r="L213" s="361"/>
      <c r="M213" s="340"/>
      <c r="N213" s="340">
        <v>0.95</v>
      </c>
      <c r="O213" s="340">
        <v>1.3</v>
      </c>
      <c r="P213" s="81">
        <f t="shared" si="27"/>
        <v>0</v>
      </c>
    </row>
    <row r="214" spans="1:16" ht="12" customHeight="1">
      <c r="A214" s="590"/>
      <c r="B214" s="350" t="s">
        <v>170</v>
      </c>
      <c r="C214" s="340">
        <v>8</v>
      </c>
      <c r="D214" s="356" t="s">
        <v>41</v>
      </c>
      <c r="E214" s="352"/>
      <c r="F214" s="361"/>
      <c r="G214" s="340"/>
      <c r="H214" s="340">
        <v>1</v>
      </c>
      <c r="I214" s="340">
        <v>1.3</v>
      </c>
      <c r="J214" s="346">
        <f t="shared" si="28"/>
        <v>0</v>
      </c>
      <c r="K214" s="352"/>
      <c r="L214" s="361"/>
      <c r="M214" s="340"/>
      <c r="N214" s="340">
        <v>0.95</v>
      </c>
      <c r="O214" s="340">
        <v>1.3</v>
      </c>
      <c r="P214" s="81">
        <f t="shared" si="27"/>
        <v>0</v>
      </c>
    </row>
    <row r="215" spans="1:16" ht="12" customHeight="1">
      <c r="A215" s="590"/>
      <c r="B215" s="350" t="s">
        <v>207</v>
      </c>
      <c r="C215" s="340">
        <v>9</v>
      </c>
      <c r="D215" s="356" t="s">
        <v>41</v>
      </c>
      <c r="E215" s="352"/>
      <c r="F215" s="361"/>
      <c r="G215" s="340"/>
      <c r="H215" s="340">
        <v>1</v>
      </c>
      <c r="I215" s="340">
        <v>1.3</v>
      </c>
      <c r="J215" s="346">
        <f t="shared" si="28"/>
        <v>0</v>
      </c>
      <c r="K215" s="352"/>
      <c r="L215" s="361"/>
      <c r="M215" s="340"/>
      <c r="N215" s="340">
        <v>0.95</v>
      </c>
      <c r="O215" s="340">
        <v>1.3</v>
      </c>
      <c r="P215" s="81">
        <f t="shared" si="27"/>
        <v>0</v>
      </c>
    </row>
    <row r="216" spans="1:16" ht="12" customHeight="1">
      <c r="A216" s="590"/>
      <c r="B216" s="350" t="s">
        <v>209</v>
      </c>
      <c r="C216" s="340">
        <v>10</v>
      </c>
      <c r="D216" s="340" t="s">
        <v>44</v>
      </c>
      <c r="E216" s="352"/>
      <c r="F216" s="361"/>
      <c r="G216" s="340"/>
      <c r="H216" s="340">
        <v>1</v>
      </c>
      <c r="I216" s="340">
        <v>1.3</v>
      </c>
      <c r="J216" s="346">
        <f t="shared" si="28"/>
        <v>0</v>
      </c>
      <c r="K216" s="352"/>
      <c r="L216" s="361"/>
      <c r="M216" s="340"/>
      <c r="N216" s="340">
        <v>0.95</v>
      </c>
      <c r="O216" s="340">
        <v>1.3</v>
      </c>
      <c r="P216" s="81">
        <f t="shared" si="27"/>
        <v>0</v>
      </c>
    </row>
    <row r="217" spans="1:16" ht="12" customHeight="1">
      <c r="A217" s="590"/>
      <c r="B217" s="350" t="s">
        <v>203</v>
      </c>
      <c r="C217" s="340">
        <v>11</v>
      </c>
      <c r="D217" s="340" t="s">
        <v>44</v>
      </c>
      <c r="E217" s="352"/>
      <c r="F217" s="361"/>
      <c r="G217" s="340"/>
      <c r="H217" s="340">
        <v>1</v>
      </c>
      <c r="I217" s="340">
        <v>1.3</v>
      </c>
      <c r="J217" s="346">
        <f t="shared" si="28"/>
        <v>0</v>
      </c>
      <c r="K217" s="352"/>
      <c r="L217" s="361"/>
      <c r="M217" s="340"/>
      <c r="N217" s="340">
        <v>0.95</v>
      </c>
      <c r="O217" s="340">
        <v>1.3</v>
      </c>
      <c r="P217" s="81">
        <f t="shared" si="27"/>
        <v>0</v>
      </c>
    </row>
    <row r="218" spans="1:16" ht="12" customHeight="1">
      <c r="A218" s="590"/>
      <c r="B218" s="350" t="s">
        <v>198</v>
      </c>
      <c r="C218" s="340">
        <v>12</v>
      </c>
      <c r="D218" s="340" t="s">
        <v>44</v>
      </c>
      <c r="E218" s="352"/>
      <c r="F218" s="361"/>
      <c r="G218" s="340"/>
      <c r="H218" s="340">
        <v>1</v>
      </c>
      <c r="I218" s="340">
        <v>1.3</v>
      </c>
      <c r="J218" s="346">
        <f t="shared" si="28"/>
        <v>0</v>
      </c>
      <c r="K218" s="352"/>
      <c r="L218" s="361"/>
      <c r="M218" s="340"/>
      <c r="N218" s="340">
        <v>0.95</v>
      </c>
      <c r="O218" s="340">
        <v>1.3</v>
      </c>
      <c r="P218" s="81">
        <f t="shared" si="27"/>
        <v>0</v>
      </c>
    </row>
    <row r="219" spans="1:16" ht="12" customHeight="1">
      <c r="A219" s="590"/>
      <c r="B219" s="350" t="s">
        <v>201</v>
      </c>
      <c r="C219" s="340">
        <v>13</v>
      </c>
      <c r="D219" s="340" t="s">
        <v>44</v>
      </c>
      <c r="E219" s="352"/>
      <c r="F219" s="361"/>
      <c r="G219" s="340"/>
      <c r="H219" s="340">
        <v>1</v>
      </c>
      <c r="I219" s="340">
        <v>1.3</v>
      </c>
      <c r="J219" s="346">
        <f t="shared" si="28"/>
        <v>0</v>
      </c>
      <c r="K219" s="352"/>
      <c r="L219" s="361"/>
      <c r="M219" s="340"/>
      <c r="N219" s="340">
        <v>0.95</v>
      </c>
      <c r="O219" s="340">
        <v>1.3</v>
      </c>
      <c r="P219" s="81">
        <f t="shared" si="27"/>
        <v>0</v>
      </c>
    </row>
    <row r="220" spans="1:16" ht="12" customHeight="1">
      <c r="A220" s="590"/>
      <c r="B220" s="350" t="s">
        <v>199</v>
      </c>
      <c r="C220" s="340">
        <v>14</v>
      </c>
      <c r="D220" s="340" t="s">
        <v>44</v>
      </c>
      <c r="E220" s="352"/>
      <c r="F220" s="361"/>
      <c r="G220" s="340"/>
      <c r="H220" s="340">
        <v>1</v>
      </c>
      <c r="I220" s="340">
        <v>1.3</v>
      </c>
      <c r="J220" s="346">
        <f t="shared" si="28"/>
        <v>0</v>
      </c>
      <c r="K220" s="352"/>
      <c r="L220" s="361"/>
      <c r="M220" s="340"/>
      <c r="N220" s="340">
        <v>0.95</v>
      </c>
      <c r="O220" s="340">
        <v>1.3</v>
      </c>
      <c r="P220" s="81">
        <f t="shared" si="27"/>
        <v>0</v>
      </c>
    </row>
    <row r="221" spans="1:16" ht="12" customHeight="1">
      <c r="A221" s="591"/>
      <c r="B221" s="584" t="s">
        <v>36</v>
      </c>
      <c r="C221" s="584"/>
      <c r="D221" s="584"/>
      <c r="E221" s="358"/>
      <c r="F221" s="359"/>
      <c r="G221" s="339"/>
      <c r="H221" s="339"/>
      <c r="I221" s="339"/>
      <c r="J221" s="346">
        <f>SUM(J207:J220)</f>
        <v>0</v>
      </c>
      <c r="K221" s="368"/>
      <c r="L221" s="359"/>
      <c r="M221" s="371"/>
      <c r="N221" s="340"/>
      <c r="O221" s="340"/>
      <c r="P221" s="81">
        <f>SUM(P207:P220)</f>
        <v>0</v>
      </c>
    </row>
    <row r="222" spans="1:16" ht="12" customHeight="1">
      <c r="A222" s="589" t="s">
        <v>212</v>
      </c>
      <c r="B222" s="350" t="s">
        <v>154</v>
      </c>
      <c r="C222" s="340">
        <v>1</v>
      </c>
      <c r="D222" s="356" t="s">
        <v>41</v>
      </c>
      <c r="E222" s="352"/>
      <c r="F222" s="361"/>
      <c r="G222" s="340"/>
      <c r="H222" s="340">
        <v>1</v>
      </c>
      <c r="I222" s="340">
        <v>1.3</v>
      </c>
      <c r="J222" s="346">
        <f>+E222*F222*G222*H222*I222</f>
        <v>0</v>
      </c>
      <c r="K222" s="352"/>
      <c r="L222" s="361"/>
      <c r="M222" s="340"/>
      <c r="N222" s="340">
        <v>0.95</v>
      </c>
      <c r="O222" s="340">
        <v>1.3</v>
      </c>
      <c r="P222" s="81">
        <f>+K222*L222*M222*N222*O222</f>
        <v>0</v>
      </c>
    </row>
    <row r="223" spans="1:16" ht="12" customHeight="1">
      <c r="A223" s="590"/>
      <c r="B223" s="350" t="s">
        <v>203</v>
      </c>
      <c r="C223" s="340">
        <v>2</v>
      </c>
      <c r="D223" s="340" t="s">
        <v>44</v>
      </c>
      <c r="E223" s="352"/>
      <c r="F223" s="361"/>
      <c r="G223" s="340"/>
      <c r="H223" s="340">
        <v>1</v>
      </c>
      <c r="I223" s="340">
        <v>1.3</v>
      </c>
      <c r="J223" s="346">
        <f>+E223*F223*G223*H223*I223</f>
        <v>0</v>
      </c>
      <c r="K223" s="352"/>
      <c r="L223" s="361"/>
      <c r="M223" s="340"/>
      <c r="N223" s="340">
        <v>0.95</v>
      </c>
      <c r="O223" s="340">
        <v>1.3</v>
      </c>
      <c r="P223" s="81">
        <f>+K223*L223*M223*N223*O223</f>
        <v>0</v>
      </c>
    </row>
    <row r="224" spans="1:16" ht="12" customHeight="1">
      <c r="A224" s="590"/>
      <c r="B224" s="350" t="s">
        <v>198</v>
      </c>
      <c r="C224" s="340">
        <v>3</v>
      </c>
      <c r="D224" s="340" t="s">
        <v>44</v>
      </c>
      <c r="E224" s="352"/>
      <c r="F224" s="361"/>
      <c r="G224" s="340"/>
      <c r="H224" s="340">
        <v>1</v>
      </c>
      <c r="I224" s="340">
        <v>1.3</v>
      </c>
      <c r="J224" s="346">
        <f>+E224*F224*G224*H224*I224</f>
        <v>0</v>
      </c>
      <c r="K224" s="352"/>
      <c r="L224" s="361"/>
      <c r="M224" s="340"/>
      <c r="N224" s="340">
        <v>0.95</v>
      </c>
      <c r="O224" s="340">
        <v>1.3</v>
      </c>
      <c r="P224" s="81">
        <f>+K224*L224*M224*N224*O224</f>
        <v>0</v>
      </c>
    </row>
    <row r="225" spans="1:16" ht="12" customHeight="1">
      <c r="A225" s="590"/>
      <c r="B225" s="350" t="s">
        <v>201</v>
      </c>
      <c r="C225" s="340">
        <v>4</v>
      </c>
      <c r="D225" s="340" t="s">
        <v>44</v>
      </c>
      <c r="E225" s="352"/>
      <c r="F225" s="361"/>
      <c r="G225" s="340"/>
      <c r="H225" s="340">
        <v>1</v>
      </c>
      <c r="I225" s="340">
        <v>1.3</v>
      </c>
      <c r="J225" s="346">
        <f>+E225*F225*G225*H225*I225</f>
        <v>0</v>
      </c>
      <c r="K225" s="352"/>
      <c r="L225" s="361"/>
      <c r="M225" s="340"/>
      <c r="N225" s="340">
        <v>0.95</v>
      </c>
      <c r="O225" s="340">
        <v>1.3</v>
      </c>
      <c r="P225" s="81">
        <f>+K225*L225*M225*N225*O225</f>
        <v>0</v>
      </c>
    </row>
    <row r="226" spans="1:16" ht="12" customHeight="1">
      <c r="A226" s="590"/>
      <c r="B226" s="350" t="s">
        <v>199</v>
      </c>
      <c r="C226" s="340">
        <v>5</v>
      </c>
      <c r="D226" s="340" t="s">
        <v>44</v>
      </c>
      <c r="E226" s="352"/>
      <c r="F226" s="361"/>
      <c r="G226" s="340"/>
      <c r="H226" s="340">
        <v>1</v>
      </c>
      <c r="I226" s="340">
        <v>1.3</v>
      </c>
      <c r="J226" s="346">
        <f>+E226*F226*G226*H226*I226</f>
        <v>0</v>
      </c>
      <c r="K226" s="352"/>
      <c r="L226" s="361"/>
      <c r="M226" s="340"/>
      <c r="N226" s="340">
        <v>0.95</v>
      </c>
      <c r="O226" s="340">
        <v>1.3</v>
      </c>
      <c r="P226" s="81">
        <f>+K226*L226*M226*N226*O226</f>
        <v>0</v>
      </c>
    </row>
    <row r="227" spans="1:16" ht="12" customHeight="1">
      <c r="A227" s="591"/>
      <c r="B227" s="593" t="s">
        <v>36</v>
      </c>
      <c r="C227" s="594"/>
      <c r="D227" s="595"/>
      <c r="E227" s="262"/>
      <c r="F227" s="231"/>
      <c r="G227" s="232"/>
      <c r="H227" s="232"/>
      <c r="I227" s="232"/>
      <c r="J227" s="346">
        <f>SUM(J222:J226)</f>
        <v>0</v>
      </c>
      <c r="K227" s="368"/>
      <c r="L227" s="231"/>
      <c r="M227" s="371"/>
      <c r="N227" s="340"/>
      <c r="O227" s="340"/>
      <c r="P227" s="81">
        <f>SUM(P222:P226)</f>
        <v>0</v>
      </c>
    </row>
    <row r="228" spans="1:16" ht="12" customHeight="1">
      <c r="A228" s="589" t="s">
        <v>213</v>
      </c>
      <c r="B228" s="350" t="s">
        <v>134</v>
      </c>
      <c r="C228" s="340">
        <v>1</v>
      </c>
      <c r="D228" s="356" t="s">
        <v>41</v>
      </c>
      <c r="E228" s="352"/>
      <c r="F228" s="361"/>
      <c r="G228" s="340"/>
      <c r="H228" s="340">
        <v>1</v>
      </c>
      <c r="I228" s="340">
        <v>1.3</v>
      </c>
      <c r="J228" s="346">
        <f t="shared" ref="J228:J235" si="29">+E228*F228*G228*H228*I228</f>
        <v>0</v>
      </c>
      <c r="K228" s="352"/>
      <c r="L228" s="361"/>
      <c r="M228" s="340"/>
      <c r="N228" s="340">
        <v>0.95</v>
      </c>
      <c r="O228" s="340">
        <v>1.3</v>
      </c>
      <c r="P228" s="81">
        <f t="shared" ref="P228:P235" si="30">+K228*L228*M228*N228*O228</f>
        <v>0</v>
      </c>
    </row>
    <row r="229" spans="1:16" ht="12" customHeight="1">
      <c r="A229" s="590"/>
      <c r="B229" s="350" t="s">
        <v>138</v>
      </c>
      <c r="C229" s="340">
        <v>2</v>
      </c>
      <c r="D229" s="350" t="s">
        <v>40</v>
      </c>
      <c r="E229" s="352"/>
      <c r="F229" s="361"/>
      <c r="G229" s="340"/>
      <c r="H229" s="340">
        <v>1</v>
      </c>
      <c r="I229" s="340">
        <v>1.3</v>
      </c>
      <c r="J229" s="346">
        <f t="shared" si="29"/>
        <v>0</v>
      </c>
      <c r="K229" s="352"/>
      <c r="L229" s="361"/>
      <c r="M229" s="340"/>
      <c r="N229" s="340">
        <v>0.95</v>
      </c>
      <c r="O229" s="340">
        <v>1.3</v>
      </c>
      <c r="P229" s="81">
        <f t="shared" si="30"/>
        <v>0</v>
      </c>
    </row>
    <row r="230" spans="1:16" ht="12" customHeight="1">
      <c r="A230" s="590"/>
      <c r="B230" s="350" t="s">
        <v>141</v>
      </c>
      <c r="C230" s="340">
        <v>3</v>
      </c>
      <c r="D230" s="356" t="s">
        <v>41</v>
      </c>
      <c r="E230" s="352"/>
      <c r="F230" s="361"/>
      <c r="G230" s="340"/>
      <c r="H230" s="340">
        <v>1</v>
      </c>
      <c r="I230" s="340">
        <v>1.3</v>
      </c>
      <c r="J230" s="346">
        <f t="shared" si="29"/>
        <v>0</v>
      </c>
      <c r="K230" s="352"/>
      <c r="L230" s="361"/>
      <c r="M230" s="340"/>
      <c r="N230" s="340">
        <v>0.95</v>
      </c>
      <c r="O230" s="340">
        <v>1.3</v>
      </c>
      <c r="P230" s="81">
        <f t="shared" si="30"/>
        <v>0</v>
      </c>
    </row>
    <row r="231" spans="1:16" ht="12" customHeight="1">
      <c r="A231" s="590"/>
      <c r="B231" s="350" t="s">
        <v>154</v>
      </c>
      <c r="C231" s="340">
        <v>4</v>
      </c>
      <c r="D231" s="356" t="s">
        <v>41</v>
      </c>
      <c r="E231" s="352"/>
      <c r="F231" s="361"/>
      <c r="G231" s="340"/>
      <c r="H231" s="340">
        <v>1</v>
      </c>
      <c r="I231" s="340">
        <v>1.3</v>
      </c>
      <c r="J231" s="346">
        <f t="shared" si="29"/>
        <v>0</v>
      </c>
      <c r="K231" s="352"/>
      <c r="L231" s="361"/>
      <c r="M231" s="340"/>
      <c r="N231" s="340">
        <v>0.95</v>
      </c>
      <c r="O231" s="340">
        <v>1.3</v>
      </c>
      <c r="P231" s="81">
        <f t="shared" si="30"/>
        <v>0</v>
      </c>
    </row>
    <row r="232" spans="1:16" ht="12" customHeight="1">
      <c r="A232" s="590"/>
      <c r="B232" s="350" t="s">
        <v>205</v>
      </c>
      <c r="C232" s="340">
        <v>5</v>
      </c>
      <c r="D232" s="356" t="s">
        <v>41</v>
      </c>
      <c r="E232" s="352"/>
      <c r="F232" s="361"/>
      <c r="G232" s="340"/>
      <c r="H232" s="340">
        <v>1</v>
      </c>
      <c r="I232" s="340">
        <v>1.3</v>
      </c>
      <c r="J232" s="346">
        <f t="shared" si="29"/>
        <v>0</v>
      </c>
      <c r="K232" s="352"/>
      <c r="L232" s="361"/>
      <c r="M232" s="340"/>
      <c r="N232" s="340">
        <v>0.95</v>
      </c>
      <c r="O232" s="340">
        <v>1.3</v>
      </c>
      <c r="P232" s="81">
        <f t="shared" si="30"/>
        <v>0</v>
      </c>
    </row>
    <row r="233" spans="1:16" ht="12" customHeight="1">
      <c r="A233" s="590"/>
      <c r="B233" s="350" t="s">
        <v>203</v>
      </c>
      <c r="C233" s="340">
        <v>6</v>
      </c>
      <c r="D233" s="340" t="s">
        <v>44</v>
      </c>
      <c r="E233" s="352"/>
      <c r="F233" s="361"/>
      <c r="G233" s="340"/>
      <c r="H233" s="340">
        <v>1</v>
      </c>
      <c r="I233" s="340">
        <v>1.3</v>
      </c>
      <c r="J233" s="346">
        <f t="shared" si="29"/>
        <v>0</v>
      </c>
      <c r="K233" s="352"/>
      <c r="L233" s="361"/>
      <c r="M233" s="340"/>
      <c r="N233" s="340">
        <v>0.95</v>
      </c>
      <c r="O233" s="340">
        <v>1.3</v>
      </c>
      <c r="P233" s="81">
        <f t="shared" si="30"/>
        <v>0</v>
      </c>
    </row>
    <row r="234" spans="1:16" ht="12" customHeight="1">
      <c r="A234" s="590"/>
      <c r="B234" s="350" t="s">
        <v>198</v>
      </c>
      <c r="C234" s="340">
        <v>7</v>
      </c>
      <c r="D234" s="340" t="s">
        <v>44</v>
      </c>
      <c r="E234" s="352"/>
      <c r="F234" s="361"/>
      <c r="G234" s="340"/>
      <c r="H234" s="340">
        <v>1</v>
      </c>
      <c r="I234" s="340">
        <v>1.3</v>
      </c>
      <c r="J234" s="346">
        <f t="shared" si="29"/>
        <v>0</v>
      </c>
      <c r="K234" s="352"/>
      <c r="L234" s="361"/>
      <c r="M234" s="340"/>
      <c r="N234" s="340">
        <v>0.95</v>
      </c>
      <c r="O234" s="340">
        <v>1.3</v>
      </c>
      <c r="P234" s="81">
        <f t="shared" si="30"/>
        <v>0</v>
      </c>
    </row>
    <row r="235" spans="1:16" ht="12" customHeight="1">
      <c r="A235" s="590"/>
      <c r="B235" s="350" t="s">
        <v>201</v>
      </c>
      <c r="C235" s="340">
        <v>8</v>
      </c>
      <c r="D235" s="340" t="s">
        <v>44</v>
      </c>
      <c r="E235" s="352"/>
      <c r="F235" s="361"/>
      <c r="G235" s="340"/>
      <c r="H235" s="340">
        <v>1</v>
      </c>
      <c r="I235" s="340">
        <v>1.3</v>
      </c>
      <c r="J235" s="346">
        <f t="shared" si="29"/>
        <v>0</v>
      </c>
      <c r="K235" s="352"/>
      <c r="L235" s="361"/>
      <c r="M235" s="340"/>
      <c r="N235" s="340">
        <v>0.95</v>
      </c>
      <c r="O235" s="340">
        <v>1.3</v>
      </c>
      <c r="P235" s="81">
        <f t="shared" si="30"/>
        <v>0</v>
      </c>
    </row>
    <row r="236" spans="1:16" ht="12" customHeight="1">
      <c r="A236" s="591"/>
      <c r="B236" s="593" t="s">
        <v>36</v>
      </c>
      <c r="C236" s="594"/>
      <c r="D236" s="595"/>
      <c r="E236" s="262"/>
      <c r="F236" s="231"/>
      <c r="G236" s="232"/>
      <c r="H236" s="232"/>
      <c r="I236" s="232"/>
      <c r="J236" s="346">
        <f>SUM(J228:J235)</f>
        <v>0</v>
      </c>
      <c r="K236" s="368"/>
      <c r="L236" s="231"/>
      <c r="M236" s="371"/>
      <c r="N236" s="340"/>
      <c r="O236" s="340"/>
      <c r="P236" s="81">
        <f>SUM(P228:P235)</f>
        <v>0</v>
      </c>
    </row>
    <row r="237" spans="1:16" ht="12" customHeight="1">
      <c r="A237" s="589" t="s">
        <v>214</v>
      </c>
      <c r="B237" s="350" t="s">
        <v>134</v>
      </c>
      <c r="C237" s="340">
        <v>1</v>
      </c>
      <c r="D237" s="356" t="s">
        <v>41</v>
      </c>
      <c r="E237" s="352"/>
      <c r="F237" s="361"/>
      <c r="G237" s="340"/>
      <c r="H237" s="340">
        <v>1</v>
      </c>
      <c r="I237" s="340">
        <v>1.3</v>
      </c>
      <c r="J237" s="346">
        <f t="shared" ref="J237:J251" si="31">+E237*F237*G237*H237*I237</f>
        <v>0</v>
      </c>
      <c r="K237" s="352"/>
      <c r="L237" s="361"/>
      <c r="M237" s="340"/>
      <c r="N237" s="340">
        <v>0.95</v>
      </c>
      <c r="O237" s="340">
        <v>1.3</v>
      </c>
      <c r="P237" s="81">
        <f t="shared" ref="P237:P251" si="32">+K237*L237*M237*N237*O237</f>
        <v>0</v>
      </c>
    </row>
    <row r="238" spans="1:16" ht="12" customHeight="1">
      <c r="A238" s="590"/>
      <c r="B238" s="350" t="s">
        <v>138</v>
      </c>
      <c r="C238" s="340">
        <v>2</v>
      </c>
      <c r="D238" s="350" t="s">
        <v>40</v>
      </c>
      <c r="E238" s="352"/>
      <c r="F238" s="361"/>
      <c r="G238" s="340"/>
      <c r="H238" s="340">
        <v>1</v>
      </c>
      <c r="I238" s="340">
        <v>1.3</v>
      </c>
      <c r="J238" s="346">
        <f t="shared" si="31"/>
        <v>0</v>
      </c>
      <c r="K238" s="352"/>
      <c r="L238" s="361"/>
      <c r="M238" s="340"/>
      <c r="N238" s="340">
        <v>0.95</v>
      </c>
      <c r="O238" s="340">
        <v>1.3</v>
      </c>
      <c r="P238" s="81">
        <f t="shared" si="32"/>
        <v>0</v>
      </c>
    </row>
    <row r="239" spans="1:16" ht="12" customHeight="1">
      <c r="A239" s="590"/>
      <c r="B239" s="350" t="s">
        <v>141</v>
      </c>
      <c r="C239" s="340">
        <v>3</v>
      </c>
      <c r="D239" s="350" t="s">
        <v>40</v>
      </c>
      <c r="E239" s="352"/>
      <c r="F239" s="361"/>
      <c r="G239" s="340"/>
      <c r="H239" s="340">
        <v>1</v>
      </c>
      <c r="I239" s="340">
        <v>1.3</v>
      </c>
      <c r="J239" s="346">
        <f t="shared" si="31"/>
        <v>0</v>
      </c>
      <c r="K239" s="352"/>
      <c r="L239" s="361"/>
      <c r="M239" s="340"/>
      <c r="N239" s="340">
        <v>0.95</v>
      </c>
      <c r="O239" s="340">
        <v>1.3</v>
      </c>
      <c r="P239" s="81">
        <f t="shared" si="32"/>
        <v>0</v>
      </c>
    </row>
    <row r="240" spans="1:16" ht="12" customHeight="1">
      <c r="A240" s="590"/>
      <c r="B240" s="350" t="s">
        <v>154</v>
      </c>
      <c r="C240" s="340">
        <v>4</v>
      </c>
      <c r="D240" s="356" t="s">
        <v>41</v>
      </c>
      <c r="E240" s="352"/>
      <c r="F240" s="361"/>
      <c r="G240" s="340"/>
      <c r="H240" s="340">
        <v>1</v>
      </c>
      <c r="I240" s="340">
        <v>1.3</v>
      </c>
      <c r="J240" s="346">
        <f t="shared" si="31"/>
        <v>0</v>
      </c>
      <c r="K240" s="352"/>
      <c r="L240" s="361"/>
      <c r="M240" s="340"/>
      <c r="N240" s="340">
        <v>0.95</v>
      </c>
      <c r="O240" s="340">
        <v>1.3</v>
      </c>
      <c r="P240" s="81">
        <f t="shared" si="32"/>
        <v>0</v>
      </c>
    </row>
    <row r="241" spans="1:16" ht="12" customHeight="1">
      <c r="A241" s="590"/>
      <c r="B241" s="350" t="s">
        <v>155</v>
      </c>
      <c r="C241" s="340">
        <v>5</v>
      </c>
      <c r="D241" s="340" t="s">
        <v>44</v>
      </c>
      <c r="E241" s="352"/>
      <c r="F241" s="361"/>
      <c r="G241" s="340"/>
      <c r="H241" s="340">
        <v>1</v>
      </c>
      <c r="I241" s="340">
        <v>1.3</v>
      </c>
      <c r="J241" s="346">
        <f t="shared" si="31"/>
        <v>0</v>
      </c>
      <c r="K241" s="352"/>
      <c r="L241" s="361"/>
      <c r="M241" s="340"/>
      <c r="N241" s="340">
        <v>0.95</v>
      </c>
      <c r="O241" s="340">
        <v>1.3</v>
      </c>
      <c r="P241" s="81">
        <f t="shared" si="32"/>
        <v>0</v>
      </c>
    </row>
    <row r="242" spans="1:16" ht="12" customHeight="1">
      <c r="A242" s="590"/>
      <c r="B242" s="350" t="s">
        <v>160</v>
      </c>
      <c r="C242" s="340">
        <v>6</v>
      </c>
      <c r="D242" s="340" t="s">
        <v>44</v>
      </c>
      <c r="E242" s="352"/>
      <c r="F242" s="361"/>
      <c r="G242" s="340"/>
      <c r="H242" s="340">
        <v>1</v>
      </c>
      <c r="I242" s="340">
        <v>1.3</v>
      </c>
      <c r="J242" s="346">
        <f t="shared" si="31"/>
        <v>0</v>
      </c>
      <c r="K242" s="352"/>
      <c r="L242" s="361"/>
      <c r="M242" s="340"/>
      <c r="N242" s="340">
        <v>0.95</v>
      </c>
      <c r="O242" s="340">
        <v>1.3</v>
      </c>
      <c r="P242" s="81">
        <f t="shared" si="32"/>
        <v>0</v>
      </c>
    </row>
    <row r="243" spans="1:16" ht="12" customHeight="1">
      <c r="A243" s="590"/>
      <c r="B243" s="350" t="s">
        <v>215</v>
      </c>
      <c r="C243" s="340">
        <v>7</v>
      </c>
      <c r="D243" s="356" t="s">
        <v>41</v>
      </c>
      <c r="E243" s="352"/>
      <c r="F243" s="361"/>
      <c r="G243" s="340"/>
      <c r="H243" s="340">
        <v>1</v>
      </c>
      <c r="I243" s="340">
        <v>1.3</v>
      </c>
      <c r="J243" s="346">
        <f t="shared" si="31"/>
        <v>0</v>
      </c>
      <c r="K243" s="352"/>
      <c r="L243" s="361"/>
      <c r="M243" s="340"/>
      <c r="N243" s="340">
        <v>0.95</v>
      </c>
      <c r="O243" s="340">
        <v>1.3</v>
      </c>
      <c r="P243" s="81">
        <f t="shared" si="32"/>
        <v>0</v>
      </c>
    </row>
    <row r="244" spans="1:16" ht="12" customHeight="1">
      <c r="A244" s="590"/>
      <c r="B244" s="350" t="s">
        <v>216</v>
      </c>
      <c r="C244" s="340">
        <v>8</v>
      </c>
      <c r="D244" s="356" t="s">
        <v>41</v>
      </c>
      <c r="E244" s="352"/>
      <c r="F244" s="361"/>
      <c r="G244" s="340"/>
      <c r="H244" s="340">
        <v>1</v>
      </c>
      <c r="I244" s="340">
        <v>1.3</v>
      </c>
      <c r="J244" s="346">
        <f t="shared" si="31"/>
        <v>0</v>
      </c>
      <c r="K244" s="352"/>
      <c r="L244" s="361"/>
      <c r="M244" s="340"/>
      <c r="N244" s="340">
        <v>0.95</v>
      </c>
      <c r="O244" s="340">
        <v>1.3</v>
      </c>
      <c r="P244" s="81">
        <f t="shared" si="32"/>
        <v>0</v>
      </c>
    </row>
    <row r="245" spans="1:16" ht="12" customHeight="1">
      <c r="A245" s="590"/>
      <c r="B245" s="350" t="s">
        <v>164</v>
      </c>
      <c r="C245" s="340">
        <v>9</v>
      </c>
      <c r="D245" s="356" t="s">
        <v>41</v>
      </c>
      <c r="E245" s="352"/>
      <c r="F245" s="361"/>
      <c r="G245" s="340"/>
      <c r="H245" s="340">
        <v>1</v>
      </c>
      <c r="I245" s="340">
        <v>1.3</v>
      </c>
      <c r="J245" s="346">
        <f t="shared" si="31"/>
        <v>0</v>
      </c>
      <c r="K245" s="352"/>
      <c r="L245" s="361"/>
      <c r="M245" s="340"/>
      <c r="N245" s="340">
        <v>0.95</v>
      </c>
      <c r="O245" s="340">
        <v>1.3</v>
      </c>
      <c r="P245" s="81">
        <f t="shared" si="32"/>
        <v>0</v>
      </c>
    </row>
    <row r="246" spans="1:16" ht="12" customHeight="1">
      <c r="A246" s="590"/>
      <c r="B246" s="350" t="s">
        <v>170</v>
      </c>
      <c r="C246" s="340">
        <v>10</v>
      </c>
      <c r="D246" s="340" t="s">
        <v>44</v>
      </c>
      <c r="E246" s="352"/>
      <c r="F246" s="361"/>
      <c r="G246" s="340"/>
      <c r="H246" s="340">
        <v>1</v>
      </c>
      <c r="I246" s="340">
        <v>1.3</v>
      </c>
      <c r="J246" s="346">
        <f t="shared" si="31"/>
        <v>0</v>
      </c>
      <c r="K246" s="352"/>
      <c r="L246" s="361"/>
      <c r="M246" s="340"/>
      <c r="N246" s="340">
        <v>0.95</v>
      </c>
      <c r="O246" s="340">
        <v>1.3</v>
      </c>
      <c r="P246" s="81">
        <f t="shared" si="32"/>
        <v>0</v>
      </c>
    </row>
    <row r="247" spans="1:16" ht="12" customHeight="1">
      <c r="A247" s="590"/>
      <c r="B247" s="350" t="s">
        <v>207</v>
      </c>
      <c r="C247" s="340">
        <v>11</v>
      </c>
      <c r="D247" s="340" t="s">
        <v>44</v>
      </c>
      <c r="E247" s="352"/>
      <c r="F247" s="361"/>
      <c r="G247" s="340"/>
      <c r="H247" s="340">
        <v>1</v>
      </c>
      <c r="I247" s="340">
        <v>1.3</v>
      </c>
      <c r="J247" s="346">
        <f t="shared" si="31"/>
        <v>0</v>
      </c>
      <c r="K247" s="352"/>
      <c r="L247" s="361"/>
      <c r="M247" s="340"/>
      <c r="N247" s="340">
        <v>0.95</v>
      </c>
      <c r="O247" s="340">
        <v>1.3</v>
      </c>
      <c r="P247" s="81">
        <f t="shared" si="32"/>
        <v>0</v>
      </c>
    </row>
    <row r="248" spans="1:16" ht="12" customHeight="1">
      <c r="A248" s="590"/>
      <c r="B248" s="350" t="s">
        <v>209</v>
      </c>
      <c r="C248" s="340">
        <v>12</v>
      </c>
      <c r="D248" s="340" t="s">
        <v>44</v>
      </c>
      <c r="E248" s="352"/>
      <c r="F248" s="361"/>
      <c r="G248" s="340"/>
      <c r="H248" s="340">
        <v>1</v>
      </c>
      <c r="I248" s="340">
        <v>1.3</v>
      </c>
      <c r="J248" s="346">
        <f t="shared" si="31"/>
        <v>0</v>
      </c>
      <c r="K248" s="352"/>
      <c r="L248" s="361"/>
      <c r="M248" s="340"/>
      <c r="N248" s="340">
        <v>0.95</v>
      </c>
      <c r="O248" s="340">
        <v>1.3</v>
      </c>
      <c r="P248" s="81">
        <f t="shared" si="32"/>
        <v>0</v>
      </c>
    </row>
    <row r="249" spans="1:16" ht="12" customHeight="1">
      <c r="A249" s="590"/>
      <c r="B249" s="350" t="s">
        <v>203</v>
      </c>
      <c r="C249" s="340">
        <v>13</v>
      </c>
      <c r="D249" s="340" t="s">
        <v>44</v>
      </c>
      <c r="E249" s="352"/>
      <c r="F249" s="361"/>
      <c r="G249" s="340"/>
      <c r="H249" s="340">
        <v>1</v>
      </c>
      <c r="I249" s="340">
        <v>1.3</v>
      </c>
      <c r="J249" s="346">
        <f t="shared" si="31"/>
        <v>0</v>
      </c>
      <c r="K249" s="352"/>
      <c r="L249" s="361"/>
      <c r="M249" s="340"/>
      <c r="N249" s="340">
        <v>0.95</v>
      </c>
      <c r="O249" s="340">
        <v>1.3</v>
      </c>
      <c r="P249" s="81">
        <f t="shared" si="32"/>
        <v>0</v>
      </c>
    </row>
    <row r="250" spans="1:16" ht="12" customHeight="1">
      <c r="A250" s="590"/>
      <c r="B250" s="350" t="s">
        <v>198</v>
      </c>
      <c r="C250" s="340">
        <v>14</v>
      </c>
      <c r="D250" s="340" t="s">
        <v>44</v>
      </c>
      <c r="E250" s="352"/>
      <c r="F250" s="361"/>
      <c r="G250" s="340"/>
      <c r="H250" s="340">
        <v>1</v>
      </c>
      <c r="I250" s="340">
        <v>1.3</v>
      </c>
      <c r="J250" s="346">
        <f t="shared" si="31"/>
        <v>0</v>
      </c>
      <c r="K250" s="352"/>
      <c r="L250" s="361"/>
      <c r="M250" s="340"/>
      <c r="N250" s="340">
        <v>0.95</v>
      </c>
      <c r="O250" s="340">
        <v>1.3</v>
      </c>
      <c r="P250" s="81">
        <f t="shared" si="32"/>
        <v>0</v>
      </c>
    </row>
    <row r="251" spans="1:16" ht="12" customHeight="1">
      <c r="A251" s="590"/>
      <c r="B251" s="350" t="s">
        <v>201</v>
      </c>
      <c r="C251" s="340">
        <v>15</v>
      </c>
      <c r="D251" s="340" t="s">
        <v>44</v>
      </c>
      <c r="E251" s="352"/>
      <c r="F251" s="361"/>
      <c r="G251" s="340"/>
      <c r="H251" s="340">
        <v>1</v>
      </c>
      <c r="I251" s="340">
        <v>1.3</v>
      </c>
      <c r="J251" s="346">
        <f t="shared" si="31"/>
        <v>0</v>
      </c>
      <c r="K251" s="352"/>
      <c r="L251" s="361"/>
      <c r="M251" s="340"/>
      <c r="N251" s="340">
        <v>0.95</v>
      </c>
      <c r="O251" s="340">
        <v>1.3</v>
      </c>
      <c r="P251" s="81">
        <f t="shared" si="32"/>
        <v>0</v>
      </c>
    </row>
    <row r="252" spans="1:16" ht="12" customHeight="1">
      <c r="A252" s="591"/>
      <c r="B252" s="593" t="s">
        <v>36</v>
      </c>
      <c r="C252" s="594"/>
      <c r="D252" s="595"/>
      <c r="E252" s="262"/>
      <c r="F252" s="232"/>
      <c r="G252" s="232"/>
      <c r="H252" s="232"/>
      <c r="I252" s="232"/>
      <c r="J252" s="346">
        <f>SUM(J237:J251)</f>
        <v>0</v>
      </c>
      <c r="K252" s="368"/>
      <c r="L252" s="346"/>
      <c r="M252" s="371"/>
      <c r="N252" s="340"/>
      <c r="O252" s="340"/>
      <c r="P252" s="81">
        <f>SUM(P237:P251)</f>
        <v>0</v>
      </c>
    </row>
    <row r="253" spans="1:16" ht="12" customHeight="1">
      <c r="A253" s="626" t="s">
        <v>80</v>
      </c>
      <c r="B253" s="228" t="s">
        <v>134</v>
      </c>
      <c r="C253" s="340">
        <v>1</v>
      </c>
      <c r="D253" s="229" t="s">
        <v>41</v>
      </c>
      <c r="E253" s="380"/>
      <c r="F253" s="381"/>
      <c r="G253" s="381"/>
      <c r="H253" s="381">
        <v>1</v>
      </c>
      <c r="I253" s="381">
        <v>1.3</v>
      </c>
      <c r="J253" s="225">
        <f>+E253*F253*G253*H253*I253</f>
        <v>0</v>
      </c>
      <c r="K253" s="261"/>
      <c r="L253" s="226"/>
      <c r="M253" s="382"/>
      <c r="N253" s="340">
        <v>0.95</v>
      </c>
      <c r="O253" s="340">
        <v>1.3</v>
      </c>
      <c r="P253" s="224">
        <f t="shared" ref="P253:P269" si="33">+K253*L253*M253*N253*O253</f>
        <v>0</v>
      </c>
    </row>
    <row r="254" spans="1:16" ht="12" customHeight="1">
      <c r="A254" s="627"/>
      <c r="B254" s="228" t="s">
        <v>217</v>
      </c>
      <c r="C254" s="340">
        <v>2</v>
      </c>
      <c r="D254" s="229" t="s">
        <v>41</v>
      </c>
      <c r="E254" s="380"/>
      <c r="F254" s="381"/>
      <c r="G254" s="381"/>
      <c r="H254" s="381">
        <v>1</v>
      </c>
      <c r="I254" s="381">
        <v>1.3</v>
      </c>
      <c r="J254" s="225">
        <f t="shared" ref="J254:J269" si="34">+E254*F254*G254*H254*I254</f>
        <v>0</v>
      </c>
      <c r="K254" s="261"/>
      <c r="L254" s="226"/>
      <c r="M254" s="382"/>
      <c r="N254" s="340">
        <v>0.95</v>
      </c>
      <c r="O254" s="340">
        <v>1.3</v>
      </c>
      <c r="P254" s="224">
        <f t="shared" si="33"/>
        <v>0</v>
      </c>
    </row>
    <row r="255" spans="1:16" ht="12" customHeight="1">
      <c r="A255" s="627"/>
      <c r="B255" s="228" t="s">
        <v>218</v>
      </c>
      <c r="C255" s="340">
        <v>3</v>
      </c>
      <c r="D255" s="227" t="s">
        <v>44</v>
      </c>
      <c r="E255" s="380"/>
      <c r="F255" s="381"/>
      <c r="G255" s="381"/>
      <c r="H255" s="381">
        <v>1</v>
      </c>
      <c r="I255" s="381">
        <v>1.3</v>
      </c>
      <c r="J255" s="225">
        <f t="shared" si="34"/>
        <v>0</v>
      </c>
      <c r="K255" s="261"/>
      <c r="L255" s="226"/>
      <c r="M255" s="382"/>
      <c r="N255" s="340">
        <v>0.95</v>
      </c>
      <c r="O255" s="340">
        <v>1.3</v>
      </c>
      <c r="P255" s="224">
        <f t="shared" si="33"/>
        <v>0</v>
      </c>
    </row>
    <row r="256" spans="1:16" ht="12" customHeight="1">
      <c r="A256" s="627"/>
      <c r="B256" s="228" t="s">
        <v>219</v>
      </c>
      <c r="C256" s="340">
        <v>4</v>
      </c>
      <c r="D256" s="229" t="s">
        <v>41</v>
      </c>
      <c r="E256" s="380"/>
      <c r="F256" s="381"/>
      <c r="G256" s="381"/>
      <c r="H256" s="381">
        <v>1</v>
      </c>
      <c r="I256" s="381">
        <v>1.3</v>
      </c>
      <c r="J256" s="225">
        <f t="shared" si="34"/>
        <v>0</v>
      </c>
      <c r="K256" s="261"/>
      <c r="L256" s="226"/>
      <c r="M256" s="382"/>
      <c r="N256" s="340">
        <v>0.95</v>
      </c>
      <c r="O256" s="340">
        <v>1.3</v>
      </c>
      <c r="P256" s="224">
        <f t="shared" si="33"/>
        <v>0</v>
      </c>
    </row>
    <row r="257" spans="1:16" ht="12" customHeight="1">
      <c r="A257" s="627"/>
      <c r="B257" s="228" t="s">
        <v>138</v>
      </c>
      <c r="C257" s="340">
        <v>5</v>
      </c>
      <c r="D257" s="229" t="s">
        <v>41</v>
      </c>
      <c r="E257" s="380"/>
      <c r="F257" s="381"/>
      <c r="G257" s="381"/>
      <c r="H257" s="381">
        <v>1</v>
      </c>
      <c r="I257" s="381">
        <v>1.3</v>
      </c>
      <c r="J257" s="225">
        <f t="shared" si="34"/>
        <v>0</v>
      </c>
      <c r="K257" s="261"/>
      <c r="L257" s="226"/>
      <c r="M257" s="382"/>
      <c r="N257" s="340">
        <v>0.95</v>
      </c>
      <c r="O257" s="340">
        <v>1.3</v>
      </c>
      <c r="P257" s="224">
        <f t="shared" si="33"/>
        <v>0</v>
      </c>
    </row>
    <row r="258" spans="1:16" ht="12" customHeight="1">
      <c r="A258" s="627"/>
      <c r="B258" s="228" t="s">
        <v>220</v>
      </c>
      <c r="C258" s="340">
        <v>6</v>
      </c>
      <c r="D258" s="230" t="s">
        <v>40</v>
      </c>
      <c r="E258" s="380"/>
      <c r="F258" s="381"/>
      <c r="G258" s="381"/>
      <c r="H258" s="381">
        <v>1</v>
      </c>
      <c r="I258" s="381">
        <v>1.3</v>
      </c>
      <c r="J258" s="225">
        <f t="shared" si="34"/>
        <v>0</v>
      </c>
      <c r="K258" s="261"/>
      <c r="L258" s="226"/>
      <c r="M258" s="382"/>
      <c r="N258" s="340">
        <v>0.95</v>
      </c>
      <c r="O258" s="340">
        <v>1.3</v>
      </c>
      <c r="P258" s="224">
        <f t="shared" si="33"/>
        <v>0</v>
      </c>
    </row>
    <row r="259" spans="1:16" ht="12" customHeight="1">
      <c r="A259" s="627"/>
      <c r="B259" s="228" t="s">
        <v>221</v>
      </c>
      <c r="C259" s="340">
        <v>7</v>
      </c>
      <c r="D259" s="229" t="s">
        <v>41</v>
      </c>
      <c r="E259" s="380"/>
      <c r="F259" s="381"/>
      <c r="G259" s="381"/>
      <c r="H259" s="381">
        <v>1</v>
      </c>
      <c r="I259" s="381">
        <v>1.3</v>
      </c>
      <c r="J259" s="225">
        <f t="shared" si="34"/>
        <v>0</v>
      </c>
      <c r="K259" s="261"/>
      <c r="L259" s="226"/>
      <c r="M259" s="382"/>
      <c r="N259" s="340">
        <v>0.95</v>
      </c>
      <c r="O259" s="340">
        <v>1.3</v>
      </c>
      <c r="P259" s="224">
        <f t="shared" si="33"/>
        <v>0</v>
      </c>
    </row>
    <row r="260" spans="1:16" ht="12" customHeight="1">
      <c r="A260" s="627"/>
      <c r="B260" s="228" t="s">
        <v>141</v>
      </c>
      <c r="C260" s="340">
        <v>8</v>
      </c>
      <c r="D260" s="230" t="s">
        <v>40</v>
      </c>
      <c r="E260" s="383"/>
      <c r="F260" s="381"/>
      <c r="G260" s="381"/>
      <c r="H260" s="381">
        <v>1</v>
      </c>
      <c r="I260" s="381">
        <v>1.3</v>
      </c>
      <c r="J260" s="225">
        <f t="shared" si="34"/>
        <v>0</v>
      </c>
      <c r="K260" s="261"/>
      <c r="L260" s="226"/>
      <c r="M260" s="382"/>
      <c r="N260" s="340">
        <v>0.95</v>
      </c>
      <c r="O260" s="340">
        <v>1.3</v>
      </c>
      <c r="P260" s="224">
        <f t="shared" si="33"/>
        <v>0</v>
      </c>
    </row>
    <row r="261" spans="1:16" ht="12" customHeight="1">
      <c r="A261" s="627"/>
      <c r="B261" s="228" t="s">
        <v>154</v>
      </c>
      <c r="C261" s="340">
        <v>9</v>
      </c>
      <c r="D261" s="229" t="s">
        <v>41</v>
      </c>
      <c r="E261" s="383"/>
      <c r="F261" s="381"/>
      <c r="G261" s="381"/>
      <c r="H261" s="381">
        <v>1</v>
      </c>
      <c r="I261" s="381">
        <v>1.3</v>
      </c>
      <c r="J261" s="225">
        <f t="shared" si="34"/>
        <v>0</v>
      </c>
      <c r="K261" s="261"/>
      <c r="L261" s="226"/>
      <c r="M261" s="382"/>
      <c r="N261" s="340">
        <v>0.95</v>
      </c>
      <c r="O261" s="340">
        <v>1.3</v>
      </c>
      <c r="P261" s="224">
        <f t="shared" si="33"/>
        <v>0</v>
      </c>
    </row>
    <row r="262" spans="1:16" ht="12" customHeight="1">
      <c r="A262" s="627"/>
      <c r="B262" s="228" t="s">
        <v>155</v>
      </c>
      <c r="C262" s="340">
        <v>10</v>
      </c>
      <c r="D262" s="229" t="s">
        <v>41</v>
      </c>
      <c r="E262" s="383"/>
      <c r="F262" s="383"/>
      <c r="G262" s="383"/>
      <c r="H262" s="381">
        <v>1</v>
      </c>
      <c r="I262" s="381">
        <v>1.3</v>
      </c>
      <c r="J262" s="225">
        <f t="shared" si="34"/>
        <v>0</v>
      </c>
      <c r="K262" s="261"/>
      <c r="L262" s="261"/>
      <c r="M262" s="343"/>
      <c r="N262" s="340">
        <v>0.95</v>
      </c>
      <c r="O262" s="340">
        <v>1.3</v>
      </c>
      <c r="P262" s="224">
        <f t="shared" si="33"/>
        <v>0</v>
      </c>
    </row>
    <row r="263" spans="1:16" ht="12" customHeight="1">
      <c r="A263" s="627"/>
      <c r="B263" s="228" t="s">
        <v>222</v>
      </c>
      <c r="C263" s="340">
        <v>11</v>
      </c>
      <c r="D263" s="227" t="s">
        <v>44</v>
      </c>
      <c r="E263" s="383"/>
      <c r="F263" s="384"/>
      <c r="G263" s="384"/>
      <c r="H263" s="381">
        <v>1</v>
      </c>
      <c r="I263" s="381">
        <v>1.3</v>
      </c>
      <c r="J263" s="225">
        <f t="shared" si="34"/>
        <v>0</v>
      </c>
      <c r="K263" s="310"/>
      <c r="L263" s="384"/>
      <c r="M263" s="340"/>
      <c r="N263" s="340">
        <v>0.95</v>
      </c>
      <c r="O263" s="340">
        <v>1.3</v>
      </c>
      <c r="P263" s="224">
        <f t="shared" si="33"/>
        <v>0</v>
      </c>
    </row>
    <row r="264" spans="1:16" ht="12" customHeight="1">
      <c r="A264" s="627"/>
      <c r="B264" s="228" t="s">
        <v>162</v>
      </c>
      <c r="C264" s="340">
        <v>12</v>
      </c>
      <c r="D264" s="227" t="s">
        <v>44</v>
      </c>
      <c r="E264" s="383"/>
      <c r="F264" s="384"/>
      <c r="G264" s="384"/>
      <c r="H264" s="381">
        <v>1</v>
      </c>
      <c r="I264" s="381">
        <v>1.3</v>
      </c>
      <c r="J264" s="225">
        <f t="shared" si="34"/>
        <v>0</v>
      </c>
      <c r="K264" s="310"/>
      <c r="L264" s="384"/>
      <c r="M264" s="340"/>
      <c r="N264" s="340">
        <v>0.95</v>
      </c>
      <c r="O264" s="340">
        <v>1.3</v>
      </c>
      <c r="P264" s="224">
        <f t="shared" si="33"/>
        <v>0</v>
      </c>
    </row>
    <row r="265" spans="1:16" ht="12" customHeight="1">
      <c r="A265" s="627"/>
      <c r="B265" s="228" t="s">
        <v>164</v>
      </c>
      <c r="C265" s="340">
        <v>13</v>
      </c>
      <c r="D265" s="229" t="s">
        <v>41</v>
      </c>
      <c r="E265" s="383"/>
      <c r="F265" s="384"/>
      <c r="G265" s="384"/>
      <c r="H265" s="381">
        <v>1</v>
      </c>
      <c r="I265" s="381">
        <v>1.3</v>
      </c>
      <c r="J265" s="225">
        <f t="shared" si="34"/>
        <v>0</v>
      </c>
      <c r="K265" s="310"/>
      <c r="L265" s="384"/>
      <c r="M265" s="340"/>
      <c r="N265" s="340">
        <v>0.95</v>
      </c>
      <c r="O265" s="340">
        <v>1.3</v>
      </c>
      <c r="P265" s="224">
        <f t="shared" si="33"/>
        <v>0</v>
      </c>
    </row>
    <row r="266" spans="1:16" ht="12" customHeight="1">
      <c r="A266" s="627"/>
      <c r="B266" s="228" t="s">
        <v>207</v>
      </c>
      <c r="C266" s="340">
        <v>14</v>
      </c>
      <c r="D266" s="227" t="s">
        <v>44</v>
      </c>
      <c r="E266" s="383"/>
      <c r="F266" s="384"/>
      <c r="G266" s="384"/>
      <c r="H266" s="381">
        <v>1</v>
      </c>
      <c r="I266" s="381">
        <v>1.3</v>
      </c>
      <c r="J266" s="225">
        <f t="shared" si="34"/>
        <v>0</v>
      </c>
      <c r="K266" s="310"/>
      <c r="L266" s="384"/>
      <c r="M266" s="340"/>
      <c r="N266" s="340">
        <v>0.95</v>
      </c>
      <c r="O266" s="340">
        <v>1.3</v>
      </c>
      <c r="P266" s="224">
        <f t="shared" si="33"/>
        <v>0</v>
      </c>
    </row>
    <row r="267" spans="1:16" ht="12" customHeight="1">
      <c r="A267" s="627"/>
      <c r="B267" s="228" t="s">
        <v>170</v>
      </c>
      <c r="C267" s="340">
        <v>15</v>
      </c>
      <c r="D267" s="227" t="s">
        <v>44</v>
      </c>
      <c r="E267" s="383">
        <v>50</v>
      </c>
      <c r="F267" s="384">
        <v>10</v>
      </c>
      <c r="G267" s="384">
        <v>3.5</v>
      </c>
      <c r="H267" s="381">
        <v>1</v>
      </c>
      <c r="I267" s="381">
        <v>1.3</v>
      </c>
      <c r="J267" s="225">
        <f t="shared" si="34"/>
        <v>2275</v>
      </c>
      <c r="K267" s="310">
        <v>50</v>
      </c>
      <c r="L267" s="384">
        <v>10</v>
      </c>
      <c r="M267" s="340">
        <v>3.5</v>
      </c>
      <c r="N267" s="340">
        <v>0.95</v>
      </c>
      <c r="O267" s="340">
        <v>1.3</v>
      </c>
      <c r="P267" s="224">
        <f t="shared" si="33"/>
        <v>2161.25</v>
      </c>
    </row>
    <row r="268" spans="1:16" ht="12" customHeight="1">
      <c r="A268" s="627"/>
      <c r="B268" s="228" t="s">
        <v>203</v>
      </c>
      <c r="C268" s="340">
        <v>16</v>
      </c>
      <c r="D268" s="227" t="s">
        <v>44</v>
      </c>
      <c r="E268" s="383"/>
      <c r="F268" s="383">
        <v>2</v>
      </c>
      <c r="G268" s="383">
        <v>3.5</v>
      </c>
      <c r="H268" s="381">
        <v>1</v>
      </c>
      <c r="I268" s="381">
        <v>1.3</v>
      </c>
      <c r="J268" s="225">
        <f t="shared" si="34"/>
        <v>0</v>
      </c>
      <c r="K268" s="261"/>
      <c r="L268" s="226">
        <v>2</v>
      </c>
      <c r="M268" s="382">
        <v>3.5</v>
      </c>
      <c r="N268" s="340">
        <v>0.95</v>
      </c>
      <c r="O268" s="340">
        <v>1.3</v>
      </c>
      <c r="P268" s="224">
        <f t="shared" si="33"/>
        <v>0</v>
      </c>
    </row>
    <row r="269" spans="1:16" ht="12" customHeight="1">
      <c r="A269" s="627"/>
      <c r="B269" s="228" t="s">
        <v>198</v>
      </c>
      <c r="C269" s="340">
        <v>17</v>
      </c>
      <c r="D269" s="227" t="s">
        <v>44</v>
      </c>
      <c r="E269" s="383">
        <v>80</v>
      </c>
      <c r="F269" s="383">
        <v>4</v>
      </c>
      <c r="G269" s="383">
        <v>3.5</v>
      </c>
      <c r="H269" s="381">
        <v>1</v>
      </c>
      <c r="I269" s="381">
        <v>1.3</v>
      </c>
      <c r="J269" s="225">
        <f t="shared" si="34"/>
        <v>1456</v>
      </c>
      <c r="K269" s="261">
        <v>80</v>
      </c>
      <c r="L269" s="226">
        <v>4</v>
      </c>
      <c r="M269" s="382">
        <v>3.5</v>
      </c>
      <c r="N269" s="340">
        <v>0.95</v>
      </c>
      <c r="O269" s="340">
        <v>1.3</v>
      </c>
      <c r="P269" s="224">
        <f t="shared" si="33"/>
        <v>1383.2</v>
      </c>
    </row>
    <row r="270" spans="1:16" ht="12" customHeight="1">
      <c r="A270" s="627"/>
      <c r="B270" s="228" t="s">
        <v>201</v>
      </c>
      <c r="C270" s="340">
        <v>18</v>
      </c>
      <c r="D270" s="227" t="s">
        <v>44</v>
      </c>
      <c r="E270" s="383"/>
      <c r="F270" s="381"/>
      <c r="G270" s="381"/>
      <c r="H270" s="381">
        <v>1</v>
      </c>
      <c r="I270" s="381">
        <v>1.3</v>
      </c>
      <c r="J270" s="225">
        <f t="shared" ref="J270" si="35">+E270*F270*G270*H270*I270</f>
        <v>0</v>
      </c>
      <c r="K270" s="261"/>
      <c r="L270" s="226"/>
      <c r="M270" s="382"/>
      <c r="N270" s="340">
        <v>0.95</v>
      </c>
      <c r="O270" s="340">
        <v>1.3</v>
      </c>
      <c r="P270" s="224">
        <f t="shared" ref="P270" si="36">+K270*L270*M270*N270*O270</f>
        <v>0</v>
      </c>
    </row>
    <row r="271" spans="1:16" ht="12" customHeight="1">
      <c r="A271" s="628"/>
      <c r="B271" s="611" t="s">
        <v>36</v>
      </c>
      <c r="C271" s="609"/>
      <c r="D271" s="610"/>
      <c r="E271" s="385"/>
      <c r="F271" s="385"/>
      <c r="G271" s="385"/>
      <c r="H271" s="385"/>
      <c r="I271" s="385"/>
      <c r="J271" s="223">
        <f>SUM(J253:J270)</f>
        <v>3731</v>
      </c>
      <c r="K271" s="225"/>
      <c r="L271" s="225"/>
      <c r="M271" s="371"/>
      <c r="N271" s="340"/>
      <c r="O271" s="340"/>
      <c r="P271" s="292">
        <f>SUM(P253:P270)</f>
        <v>3544.45</v>
      </c>
    </row>
    <row r="272" spans="1:16" ht="12" customHeight="1">
      <c r="A272" s="583" t="s">
        <v>223</v>
      </c>
      <c r="B272" s="340" t="s">
        <v>224</v>
      </c>
      <c r="C272" s="340">
        <v>22</v>
      </c>
      <c r="D272" s="386" t="s">
        <v>46</v>
      </c>
      <c r="E272" s="353"/>
      <c r="F272" s="351"/>
      <c r="G272" s="351"/>
      <c r="H272" s="387">
        <v>1</v>
      </c>
      <c r="I272" s="340">
        <v>1.3</v>
      </c>
      <c r="J272" s="277">
        <f t="shared" ref="J272:J278" si="37">E272*F272*G272*H272*I272</f>
        <v>0</v>
      </c>
      <c r="K272" s="340"/>
      <c r="L272" s="352"/>
      <c r="M272" s="388"/>
      <c r="N272" s="389">
        <v>0.95</v>
      </c>
      <c r="O272" s="390">
        <v>1.3</v>
      </c>
      <c r="P272" s="189">
        <f t="shared" ref="P272:P278" si="38">+K272*L272*M272*N272*O272</f>
        <v>0</v>
      </c>
    </row>
    <row r="273" spans="1:16" ht="12" customHeight="1">
      <c r="A273" s="583"/>
      <c r="B273" s="340" t="s">
        <v>223</v>
      </c>
      <c r="C273" s="340">
        <v>23</v>
      </c>
      <c r="D273" s="386" t="s">
        <v>46</v>
      </c>
      <c r="E273" s="353"/>
      <c r="F273" s="352"/>
      <c r="G273" s="352"/>
      <c r="H273" s="387">
        <v>1</v>
      </c>
      <c r="I273" s="340">
        <v>1.3</v>
      </c>
      <c r="J273" s="277">
        <f t="shared" si="37"/>
        <v>0</v>
      </c>
      <c r="K273" s="340"/>
      <c r="L273" s="340"/>
      <c r="M273" s="388"/>
      <c r="N273" s="389">
        <v>0.95</v>
      </c>
      <c r="O273" s="390">
        <v>1.3</v>
      </c>
      <c r="P273" s="189">
        <f t="shared" si="38"/>
        <v>0</v>
      </c>
    </row>
    <row r="274" spans="1:16" ht="12" customHeight="1">
      <c r="A274" s="583"/>
      <c r="B274" s="340" t="s">
        <v>225</v>
      </c>
      <c r="C274" s="340">
        <v>24</v>
      </c>
      <c r="D274" s="386" t="s">
        <v>46</v>
      </c>
      <c r="E274" s="353"/>
      <c r="F274" s="352"/>
      <c r="G274" s="352"/>
      <c r="H274" s="389">
        <v>1</v>
      </c>
      <c r="I274" s="340">
        <v>1.3</v>
      </c>
      <c r="J274" s="277">
        <f t="shared" si="37"/>
        <v>0</v>
      </c>
      <c r="K274" s="340"/>
      <c r="L274" s="352"/>
      <c r="M274" s="352"/>
      <c r="N274" s="389">
        <v>0.95</v>
      </c>
      <c r="O274" s="390">
        <v>1.3</v>
      </c>
      <c r="P274" s="189">
        <f t="shared" si="38"/>
        <v>0</v>
      </c>
    </row>
    <row r="275" spans="1:16" ht="12" customHeight="1">
      <c r="A275" s="583"/>
      <c r="B275" s="340" t="s">
        <v>226</v>
      </c>
      <c r="C275" s="340">
        <v>25</v>
      </c>
      <c r="D275" s="386" t="s">
        <v>46</v>
      </c>
      <c r="E275" s="353"/>
      <c r="F275" s="352"/>
      <c r="G275" s="352"/>
      <c r="H275" s="391">
        <v>1</v>
      </c>
      <c r="I275" s="345">
        <v>1.3</v>
      </c>
      <c r="J275" s="392">
        <f t="shared" si="37"/>
        <v>0</v>
      </c>
      <c r="K275" s="340"/>
      <c r="L275" s="340"/>
      <c r="M275" s="388"/>
      <c r="N275" s="389">
        <v>0.95</v>
      </c>
      <c r="O275" s="390">
        <v>1.3</v>
      </c>
      <c r="P275" s="189">
        <f t="shared" si="38"/>
        <v>0</v>
      </c>
    </row>
    <row r="276" spans="1:16" ht="12" customHeight="1">
      <c r="A276" s="583"/>
      <c r="B276" s="340" t="s">
        <v>227</v>
      </c>
      <c r="C276" s="340">
        <v>26</v>
      </c>
      <c r="D276" s="386" t="s">
        <v>46</v>
      </c>
      <c r="E276" s="353">
        <v>220</v>
      </c>
      <c r="F276" s="352">
        <v>5</v>
      </c>
      <c r="G276" s="340">
        <v>3</v>
      </c>
      <c r="H276" s="391">
        <v>1</v>
      </c>
      <c r="I276" s="345">
        <v>1.3</v>
      </c>
      <c r="J276" s="392">
        <f t="shared" si="37"/>
        <v>4290</v>
      </c>
      <c r="K276" s="393">
        <v>220</v>
      </c>
      <c r="L276" s="340">
        <v>5</v>
      </c>
      <c r="M276" s="388">
        <v>3</v>
      </c>
      <c r="N276" s="387">
        <v>0.95</v>
      </c>
      <c r="O276" s="394">
        <v>1.3</v>
      </c>
      <c r="P276" s="80">
        <f t="shared" si="38"/>
        <v>4075.5</v>
      </c>
    </row>
    <row r="277" spans="1:16" ht="12" customHeight="1">
      <c r="A277" s="583"/>
      <c r="B277" s="340" t="s">
        <v>228</v>
      </c>
      <c r="C277" s="340">
        <v>27</v>
      </c>
      <c r="D277" s="386" t="s">
        <v>46</v>
      </c>
      <c r="E277" s="353"/>
      <c r="F277" s="340"/>
      <c r="G277" s="340"/>
      <c r="H277" s="389">
        <v>1</v>
      </c>
      <c r="I277" s="345">
        <v>1.3</v>
      </c>
      <c r="J277" s="392">
        <f t="shared" si="37"/>
        <v>0</v>
      </c>
      <c r="K277" s="393"/>
      <c r="L277" s="340"/>
      <c r="M277" s="388"/>
      <c r="N277" s="387">
        <v>0.95</v>
      </c>
      <c r="O277" s="394">
        <v>1.3</v>
      </c>
      <c r="P277" s="80">
        <f t="shared" si="38"/>
        <v>0</v>
      </c>
    </row>
    <row r="278" spans="1:16" ht="12" customHeight="1">
      <c r="A278" s="583"/>
      <c r="B278" s="340" t="s">
        <v>229</v>
      </c>
      <c r="C278" s="340">
        <v>28</v>
      </c>
      <c r="D278" s="386" t="s">
        <v>46</v>
      </c>
      <c r="E278" s="353"/>
      <c r="F278" s="340"/>
      <c r="G278" s="340"/>
      <c r="H278" s="389">
        <v>1</v>
      </c>
      <c r="I278" s="395">
        <v>1.3</v>
      </c>
      <c r="J278" s="396">
        <f t="shared" si="37"/>
        <v>0</v>
      </c>
      <c r="K278" s="393"/>
      <c r="L278" s="340"/>
      <c r="M278" s="388"/>
      <c r="N278" s="387">
        <v>0.95</v>
      </c>
      <c r="O278" s="394">
        <v>1.3</v>
      </c>
      <c r="P278" s="80">
        <f t="shared" si="38"/>
        <v>0</v>
      </c>
    </row>
    <row r="279" spans="1:16" ht="12" customHeight="1">
      <c r="A279" s="583"/>
      <c r="B279" s="584" t="s">
        <v>36</v>
      </c>
      <c r="C279" s="584"/>
      <c r="D279" s="584"/>
      <c r="E279" s="361"/>
      <c r="F279" s="352"/>
      <c r="G279" s="397"/>
      <c r="H279" s="397"/>
      <c r="I279" s="397"/>
      <c r="J279" s="374">
        <f>SUM(J272:J278)</f>
        <v>4290</v>
      </c>
      <c r="K279" s="398"/>
      <c r="L279" s="398"/>
      <c r="M279" s="399"/>
      <c r="N279" s="340"/>
      <c r="O279" s="340"/>
      <c r="P279" s="291">
        <f>SUM(P272:P278)</f>
        <v>4075.5</v>
      </c>
    </row>
    <row r="280" spans="1:16" ht="12" customHeight="1">
      <c r="A280" s="585" t="s">
        <v>79</v>
      </c>
      <c r="B280" s="340">
        <v>4</v>
      </c>
      <c r="C280" s="340">
        <v>22</v>
      </c>
      <c r="D280" s="386" t="s">
        <v>46</v>
      </c>
      <c r="E280" s="353"/>
      <c r="F280" s="351"/>
      <c r="G280" s="351"/>
      <c r="H280" s="387">
        <v>1</v>
      </c>
      <c r="I280" s="340">
        <v>1.3</v>
      </c>
      <c r="J280" s="277">
        <f t="shared" ref="J280:J286" si="39">E280*F280*G280*H280*I280</f>
        <v>0</v>
      </c>
      <c r="K280" s="340"/>
      <c r="L280" s="352"/>
      <c r="M280" s="388"/>
      <c r="N280" s="389">
        <v>0.95</v>
      </c>
      <c r="O280" s="390">
        <v>1.3</v>
      </c>
      <c r="P280" s="189">
        <f t="shared" ref="P280:P286" si="40">+K280*L280*M280*N280*O280</f>
        <v>0</v>
      </c>
    </row>
    <row r="281" spans="1:16" ht="12" customHeight="1">
      <c r="A281" s="586"/>
      <c r="B281" s="340" t="s">
        <v>230</v>
      </c>
      <c r="C281" s="340">
        <v>23</v>
      </c>
      <c r="D281" s="386" t="s">
        <v>46</v>
      </c>
      <c r="E281" s="353"/>
      <c r="F281" s="352"/>
      <c r="G281" s="352"/>
      <c r="H281" s="387">
        <v>1</v>
      </c>
      <c r="I281" s="340">
        <v>1.3</v>
      </c>
      <c r="J281" s="277">
        <f t="shared" si="39"/>
        <v>0</v>
      </c>
      <c r="K281" s="340"/>
      <c r="L281" s="340"/>
      <c r="M281" s="388"/>
      <c r="N281" s="389">
        <v>0.95</v>
      </c>
      <c r="O281" s="390">
        <v>1.3</v>
      </c>
      <c r="P281" s="189">
        <f t="shared" si="40"/>
        <v>0</v>
      </c>
    </row>
    <row r="282" spans="1:16" ht="12" customHeight="1">
      <c r="A282" s="586"/>
      <c r="B282" s="340" t="s">
        <v>231</v>
      </c>
      <c r="C282" s="340">
        <v>24</v>
      </c>
      <c r="D282" s="386" t="s">
        <v>46</v>
      </c>
      <c r="E282" s="353"/>
      <c r="F282" s="352"/>
      <c r="G282" s="352"/>
      <c r="H282" s="389">
        <v>1</v>
      </c>
      <c r="I282" s="340">
        <v>1.3</v>
      </c>
      <c r="J282" s="277">
        <f t="shared" si="39"/>
        <v>0</v>
      </c>
      <c r="K282" s="340"/>
      <c r="L282" s="352"/>
      <c r="M282" s="352"/>
      <c r="N282" s="389">
        <v>0.95</v>
      </c>
      <c r="O282" s="390">
        <v>1.3</v>
      </c>
      <c r="P282" s="189">
        <f t="shared" si="40"/>
        <v>0</v>
      </c>
    </row>
    <row r="283" spans="1:16" ht="12" customHeight="1">
      <c r="A283" s="586"/>
      <c r="B283" s="340" t="s">
        <v>232</v>
      </c>
      <c r="C283" s="340">
        <v>25</v>
      </c>
      <c r="D283" s="386" t="s">
        <v>46</v>
      </c>
      <c r="E283" s="353"/>
      <c r="F283" s="352"/>
      <c r="G283" s="352"/>
      <c r="H283" s="391">
        <v>1</v>
      </c>
      <c r="I283" s="345">
        <v>1.3</v>
      </c>
      <c r="J283" s="392">
        <f t="shared" si="39"/>
        <v>0</v>
      </c>
      <c r="K283" s="340"/>
      <c r="L283" s="340"/>
      <c r="M283" s="388"/>
      <c r="N283" s="389">
        <v>0.95</v>
      </c>
      <c r="O283" s="390">
        <v>1.3</v>
      </c>
      <c r="P283" s="189">
        <f t="shared" si="40"/>
        <v>0</v>
      </c>
    </row>
    <row r="284" spans="1:16" ht="12" customHeight="1">
      <c r="A284" s="586"/>
      <c r="B284" s="340" t="s">
        <v>233</v>
      </c>
      <c r="C284" s="340">
        <v>26</v>
      </c>
      <c r="D284" s="386" t="s">
        <v>46</v>
      </c>
      <c r="E284" s="353"/>
      <c r="F284" s="352"/>
      <c r="G284" s="340"/>
      <c r="H284" s="391">
        <v>1</v>
      </c>
      <c r="I284" s="345">
        <v>1.3</v>
      </c>
      <c r="J284" s="392">
        <f t="shared" si="39"/>
        <v>0</v>
      </c>
      <c r="K284" s="393"/>
      <c r="L284" s="340"/>
      <c r="M284" s="388"/>
      <c r="N284" s="387">
        <v>0.95</v>
      </c>
      <c r="O284" s="394">
        <v>1.3</v>
      </c>
      <c r="P284" s="80">
        <f t="shared" si="40"/>
        <v>0</v>
      </c>
    </row>
    <row r="285" spans="1:16" ht="12" customHeight="1">
      <c r="A285" s="586"/>
      <c r="B285" s="340" t="s">
        <v>234</v>
      </c>
      <c r="C285" s="340">
        <v>27</v>
      </c>
      <c r="D285" s="386" t="s">
        <v>46</v>
      </c>
      <c r="E285" s="353">
        <v>20</v>
      </c>
      <c r="F285" s="340">
        <v>11</v>
      </c>
      <c r="G285" s="340">
        <v>6.7</v>
      </c>
      <c r="H285" s="389">
        <v>1</v>
      </c>
      <c r="I285" s="345">
        <v>1.3</v>
      </c>
      <c r="J285" s="392">
        <f t="shared" si="39"/>
        <v>1916.2</v>
      </c>
      <c r="K285" s="393">
        <v>20</v>
      </c>
      <c r="L285" s="340">
        <v>11</v>
      </c>
      <c r="M285" s="388">
        <v>6.7</v>
      </c>
      <c r="N285" s="387">
        <v>0.95</v>
      </c>
      <c r="O285" s="394">
        <v>1.3</v>
      </c>
      <c r="P285" s="80">
        <f t="shared" si="40"/>
        <v>1820.39</v>
      </c>
    </row>
    <row r="286" spans="1:16" ht="12" customHeight="1">
      <c r="A286" s="586"/>
      <c r="B286" s="340">
        <v>7</v>
      </c>
      <c r="C286" s="340">
        <v>28</v>
      </c>
      <c r="D286" s="386" t="s">
        <v>46</v>
      </c>
      <c r="E286" s="353">
        <v>120</v>
      </c>
      <c r="F286" s="340">
        <v>11</v>
      </c>
      <c r="G286" s="340">
        <v>3</v>
      </c>
      <c r="H286" s="389">
        <v>1</v>
      </c>
      <c r="I286" s="395">
        <v>1.3</v>
      </c>
      <c r="J286" s="396">
        <f t="shared" si="39"/>
        <v>5148</v>
      </c>
      <c r="K286" s="353">
        <v>120</v>
      </c>
      <c r="L286" s="340">
        <v>11</v>
      </c>
      <c r="M286" s="340">
        <v>3</v>
      </c>
      <c r="N286" s="387">
        <v>0.95</v>
      </c>
      <c r="O286" s="394">
        <v>1.3</v>
      </c>
      <c r="P286" s="80">
        <f t="shared" si="40"/>
        <v>4890.6000000000004</v>
      </c>
    </row>
    <row r="287" spans="1:16" ht="12" customHeight="1">
      <c r="A287" s="587"/>
      <c r="B287" s="584" t="s">
        <v>36</v>
      </c>
      <c r="C287" s="584"/>
      <c r="D287" s="584"/>
      <c r="E287" s="361"/>
      <c r="F287" s="352"/>
      <c r="G287" s="397"/>
      <c r="H287" s="397"/>
      <c r="I287" s="397"/>
      <c r="J287" s="374">
        <f>SUM(J280:J286)</f>
        <v>7064.2</v>
      </c>
      <c r="K287" s="398"/>
      <c r="L287" s="398"/>
      <c r="M287" s="399"/>
      <c r="N287" s="340"/>
      <c r="O287" s="340"/>
      <c r="P287" s="291">
        <f>SUM(P280:P286)</f>
        <v>6710.9900000000007</v>
      </c>
    </row>
    <row r="288" spans="1:16" ht="12" customHeight="1">
      <c r="A288" s="608" t="s">
        <v>235</v>
      </c>
      <c r="B288" s="609"/>
      <c r="C288" s="609"/>
      <c r="D288" s="610"/>
      <c r="E288" s="400"/>
      <c r="F288" s="400"/>
      <c r="G288" s="400"/>
      <c r="H288" s="400"/>
      <c r="I288" s="400"/>
      <c r="J288" s="225">
        <f>SUM(J73)</f>
        <v>780</v>
      </c>
      <c r="K288" s="225"/>
      <c r="L288" s="225"/>
      <c r="M288" s="371"/>
      <c r="N288" s="340"/>
      <c r="O288" s="340"/>
      <c r="P288" s="224">
        <f>SUM(P73)</f>
        <v>741</v>
      </c>
    </row>
    <row r="289" spans="1:16" ht="12" customHeight="1">
      <c r="A289" s="608" t="s">
        <v>236</v>
      </c>
      <c r="B289" s="609"/>
      <c r="C289" s="609"/>
      <c r="D289" s="610"/>
      <c r="E289" s="400"/>
      <c r="F289" s="400"/>
      <c r="G289" s="400"/>
      <c r="H289" s="400"/>
      <c r="I289" s="400"/>
      <c r="J289" s="225">
        <f>J102</f>
        <v>7384</v>
      </c>
      <c r="K289" s="225"/>
      <c r="L289" s="225"/>
      <c r="M289" s="371"/>
      <c r="N289" s="340"/>
      <c r="O289" s="340"/>
      <c r="P289" s="224">
        <f>P102</f>
        <v>7014.7999999999993</v>
      </c>
    </row>
    <row r="290" spans="1:16" ht="12" customHeight="1">
      <c r="A290" s="608" t="s">
        <v>237</v>
      </c>
      <c r="B290" s="609"/>
      <c r="C290" s="609"/>
      <c r="D290" s="610"/>
      <c r="E290" s="400"/>
      <c r="F290" s="400"/>
      <c r="G290" s="400"/>
      <c r="H290" s="400"/>
      <c r="I290" s="400"/>
      <c r="J290" s="225">
        <f>J117+J127+J142+J158+J174+J189+J206</f>
        <v>5304</v>
      </c>
      <c r="K290" s="225"/>
      <c r="L290" s="225"/>
      <c r="M290" s="371"/>
      <c r="N290" s="340"/>
      <c r="O290" s="340"/>
      <c r="P290" s="224">
        <f>P117+P127+P142+P158+P174+P189+P206</f>
        <v>5038.8</v>
      </c>
    </row>
    <row r="291" spans="1:16" ht="12" customHeight="1">
      <c r="A291" s="608" t="s">
        <v>238</v>
      </c>
      <c r="B291" s="609"/>
      <c r="C291" s="609"/>
      <c r="D291" s="610"/>
      <c r="E291" s="400"/>
      <c r="F291" s="400"/>
      <c r="G291" s="400"/>
      <c r="H291" s="400"/>
      <c r="I291" s="400"/>
      <c r="J291" s="225">
        <f>+J221+J227+J236+J252</f>
        <v>0</v>
      </c>
      <c r="K291" s="225"/>
      <c r="L291" s="225"/>
      <c r="M291" s="371"/>
      <c r="N291" s="340"/>
      <c r="O291" s="340"/>
      <c r="P291" s="224">
        <f>+P221+P227+P236+P252</f>
        <v>0</v>
      </c>
    </row>
    <row r="292" spans="1:16" ht="12" customHeight="1">
      <c r="A292" s="608" t="s">
        <v>239</v>
      </c>
      <c r="B292" s="609"/>
      <c r="C292" s="609"/>
      <c r="D292" s="610"/>
      <c r="E292" s="400"/>
      <c r="F292" s="400"/>
      <c r="G292" s="400"/>
      <c r="H292" s="400"/>
      <c r="I292" s="400"/>
      <c r="J292" s="225">
        <f>+J271</f>
        <v>3731</v>
      </c>
      <c r="K292" s="225"/>
      <c r="L292" s="225"/>
      <c r="M292" s="371"/>
      <c r="N292" s="340"/>
      <c r="O292" s="340"/>
      <c r="P292" s="224">
        <f>+P271</f>
        <v>3544.45</v>
      </c>
    </row>
    <row r="293" spans="1:16" ht="12" customHeight="1">
      <c r="A293" s="583" t="s">
        <v>240</v>
      </c>
      <c r="B293" s="583"/>
      <c r="C293" s="583"/>
      <c r="D293" s="583"/>
      <c r="E293" s="400"/>
      <c r="F293" s="400"/>
      <c r="G293" s="400"/>
      <c r="H293" s="400"/>
      <c r="I293" s="400"/>
      <c r="J293" s="225">
        <f>J279</f>
        <v>4290</v>
      </c>
      <c r="K293" s="225"/>
      <c r="L293" s="225"/>
      <c r="M293" s="371"/>
      <c r="N293" s="340"/>
      <c r="O293" s="340"/>
      <c r="P293" s="225">
        <f>P279</f>
        <v>4075.5</v>
      </c>
    </row>
    <row r="294" spans="1:16" ht="12" customHeight="1">
      <c r="A294" s="583" t="s">
        <v>241</v>
      </c>
      <c r="B294" s="583"/>
      <c r="C294" s="583"/>
      <c r="D294" s="583"/>
      <c r="E294" s="400"/>
      <c r="F294" s="400"/>
      <c r="G294" s="400"/>
      <c r="H294" s="400"/>
      <c r="I294" s="400"/>
      <c r="J294" s="225">
        <f>J287</f>
        <v>7064.2</v>
      </c>
      <c r="K294" s="225"/>
      <c r="L294" s="225"/>
      <c r="M294" s="371"/>
      <c r="N294" s="340"/>
      <c r="O294" s="340"/>
      <c r="P294" s="225">
        <f>P287</f>
        <v>6710.9900000000007</v>
      </c>
    </row>
    <row r="295" spans="1:16" ht="12" customHeight="1">
      <c r="A295" s="605" t="s">
        <v>242</v>
      </c>
      <c r="B295" s="594"/>
      <c r="C295" s="594"/>
      <c r="D295" s="595"/>
      <c r="E295" s="385"/>
      <c r="F295" s="385"/>
      <c r="G295" s="385"/>
      <c r="H295" s="385"/>
      <c r="I295" s="385"/>
      <c r="J295" s="223">
        <f>SUM(J288:J293)</f>
        <v>21489</v>
      </c>
      <c r="K295" s="223"/>
      <c r="L295" s="223"/>
      <c r="M295" s="371"/>
      <c r="N295" s="340"/>
      <c r="O295" s="340"/>
      <c r="P295" s="223">
        <f>SUM(P288:P293)</f>
        <v>20414.55</v>
      </c>
    </row>
    <row r="296" spans="1:16" ht="12" customHeight="1">
      <c r="A296" s="605" t="s">
        <v>243</v>
      </c>
      <c r="B296" s="594"/>
      <c r="C296" s="594"/>
      <c r="D296" s="595"/>
      <c r="E296" s="222"/>
      <c r="F296" s="222"/>
      <c r="G296" s="222"/>
      <c r="H296" s="222"/>
      <c r="I296" s="222"/>
      <c r="J296" s="221" t="s">
        <v>244</v>
      </c>
      <c r="K296" s="633" t="s">
        <v>245</v>
      </c>
      <c r="L296" s="634"/>
      <c r="M296" s="634"/>
      <c r="N296" s="634"/>
      <c r="O296" s="634"/>
      <c r="P296" s="635"/>
    </row>
    <row r="297" spans="1:16" ht="12" customHeight="1">
      <c r="A297" s="605" t="s">
        <v>246</v>
      </c>
      <c r="B297" s="594"/>
      <c r="C297" s="594"/>
      <c r="D297" s="595"/>
      <c r="E297" s="612">
        <v>0</v>
      </c>
      <c r="F297" s="613"/>
      <c r="G297" s="613"/>
      <c r="H297" s="613"/>
      <c r="I297" s="613"/>
      <c r="J297" s="614"/>
      <c r="K297" s="623">
        <v>0</v>
      </c>
      <c r="L297" s="624"/>
      <c r="M297" s="624"/>
      <c r="N297" s="624"/>
      <c r="O297" s="624"/>
      <c r="P297" s="625"/>
    </row>
    <row r="298" spans="1:16" ht="12" customHeight="1">
      <c r="A298" s="605" t="s">
        <v>38</v>
      </c>
      <c r="B298" s="594"/>
      <c r="C298" s="594"/>
      <c r="D298" s="595"/>
      <c r="E298" s="612">
        <v>0</v>
      </c>
      <c r="F298" s="613"/>
      <c r="G298" s="613"/>
      <c r="H298" s="613"/>
      <c r="I298" s="613"/>
      <c r="J298" s="614"/>
      <c r="K298" s="615">
        <v>0</v>
      </c>
      <c r="L298" s="615"/>
      <c r="M298" s="615"/>
      <c r="N298" s="615"/>
      <c r="O298" s="615"/>
      <c r="P298" s="615"/>
    </row>
    <row r="299" spans="1:16" ht="12" customHeight="1">
      <c r="A299" s="621" t="s">
        <v>247</v>
      </c>
      <c r="B299" s="622"/>
      <c r="C299" s="622"/>
      <c r="D299" s="622"/>
      <c r="E299" s="636">
        <f>+E297+E298</f>
        <v>0</v>
      </c>
      <c r="F299" s="637"/>
      <c r="G299" s="637"/>
      <c r="H299" s="637"/>
      <c r="I299" s="637"/>
      <c r="J299" s="638"/>
      <c r="K299" s="639">
        <f>+K297+K298</f>
        <v>0</v>
      </c>
      <c r="L299" s="639"/>
      <c r="M299" s="639"/>
      <c r="N299" s="639"/>
      <c r="O299" s="639"/>
      <c r="P299" s="640"/>
    </row>
    <row r="300" spans="1:16" ht="12" customHeight="1">
      <c r="A300" s="618" t="s">
        <v>248</v>
      </c>
      <c r="B300" s="641" t="s">
        <v>37</v>
      </c>
      <c r="C300" s="641"/>
      <c r="D300" s="642"/>
      <c r="E300" s="234"/>
      <c r="F300" s="234"/>
      <c r="G300" s="234"/>
      <c r="H300" s="234"/>
      <c r="I300" s="234"/>
      <c r="J300" s="220">
        <f>+SUMIF($D$14:$D$270,"PH",($J$14:$J$270))</f>
        <v>780</v>
      </c>
      <c r="K300" s="233"/>
      <c r="L300" s="233"/>
      <c r="M300" s="233"/>
      <c r="N300" s="233"/>
      <c r="O300" s="233"/>
      <c r="P300" s="235">
        <f>+SUMIF($D$14:$D$270,"PH",($P$14:$P$270))</f>
        <v>741</v>
      </c>
    </row>
    <row r="301" spans="1:16" ht="12" customHeight="1">
      <c r="A301" s="619"/>
      <c r="B301" s="643" t="s">
        <v>40</v>
      </c>
      <c r="C301" s="643"/>
      <c r="D301" s="644"/>
      <c r="E301" s="234"/>
      <c r="F301" s="234"/>
      <c r="G301" s="234"/>
      <c r="H301" s="234"/>
      <c r="I301" s="234"/>
      <c r="J301" s="220">
        <f>+SUMIF($D$14:$D$270,"PL",($J$14:$J$270))</f>
        <v>780</v>
      </c>
      <c r="K301" s="233"/>
      <c r="L301" s="233"/>
      <c r="M301" s="233"/>
      <c r="N301" s="233"/>
      <c r="O301" s="233"/>
      <c r="P301" s="235">
        <f>+SUMIF($D$14:$D$270,"PL",($P$14:$P$270))</f>
        <v>741</v>
      </c>
    </row>
    <row r="302" spans="1:16" ht="12" customHeight="1">
      <c r="A302" s="619"/>
      <c r="B302" s="629" t="s">
        <v>41</v>
      </c>
      <c r="C302" s="629"/>
      <c r="D302" s="630"/>
      <c r="E302" s="234"/>
      <c r="F302" s="234"/>
      <c r="G302" s="234"/>
      <c r="H302" s="234"/>
      <c r="I302" s="234"/>
      <c r="J302" s="220">
        <f>+SUMIF($D$14:$D$270,"MH",($J$14:$J$270))</f>
        <v>4056</v>
      </c>
      <c r="K302" s="233"/>
      <c r="L302" s="233"/>
      <c r="M302" s="233"/>
      <c r="N302" s="233"/>
      <c r="O302" s="233"/>
      <c r="P302" s="235">
        <f>+SUMIF($D$14:$D$270,"MH",($P$14:$P$270))</f>
        <v>3853.2</v>
      </c>
    </row>
    <row r="303" spans="1:16" ht="12" customHeight="1">
      <c r="A303" s="619"/>
      <c r="B303" s="594" t="s">
        <v>44</v>
      </c>
      <c r="C303" s="594"/>
      <c r="D303" s="595"/>
      <c r="E303" s="234"/>
      <c r="F303" s="234"/>
      <c r="G303" s="234"/>
      <c r="H303" s="234"/>
      <c r="I303" s="234"/>
      <c r="J303" s="220">
        <f>+SUMIF($D$14:$D$270,"ML",($J$14:$J$270))</f>
        <v>11583</v>
      </c>
      <c r="K303" s="233"/>
      <c r="L303" s="233"/>
      <c r="M303" s="233"/>
      <c r="N303" s="233"/>
      <c r="O303" s="233"/>
      <c r="P303" s="235">
        <f>+SUMIF($D$14:$D$270,"ML",($P$14:$P$270))</f>
        <v>11003.85</v>
      </c>
    </row>
    <row r="304" spans="1:16" ht="12" customHeight="1">
      <c r="A304" s="619"/>
      <c r="B304" s="616" t="s">
        <v>46</v>
      </c>
      <c r="C304" s="616"/>
      <c r="D304" s="617"/>
      <c r="E304" s="402"/>
      <c r="F304" s="402"/>
      <c r="G304" s="402"/>
      <c r="H304" s="402"/>
      <c r="I304" s="402"/>
      <c r="J304" s="403">
        <f>+SUMIF($D$14:$D$286,"SM",($J$14:$J$286))</f>
        <v>11354.2</v>
      </c>
      <c r="K304" s="404"/>
      <c r="L304" s="404"/>
      <c r="M304" s="404"/>
      <c r="N304" s="404"/>
      <c r="O304" s="404"/>
      <c r="P304" s="219">
        <f>+SUMIF($D$14:$D$279,"SM",($P$14:$P$279))</f>
        <v>4075.5</v>
      </c>
    </row>
    <row r="305" spans="1:16" ht="12" customHeight="1" thickBot="1">
      <c r="A305" s="620"/>
      <c r="B305" s="594" t="s">
        <v>48</v>
      </c>
      <c r="C305" s="594"/>
      <c r="D305" s="595"/>
      <c r="E305" s="179"/>
      <c r="F305" s="180"/>
      <c r="G305" s="180"/>
      <c r="H305" s="180"/>
      <c r="I305" s="180"/>
      <c r="J305" s="181">
        <f>SUM(J300:J304)</f>
        <v>28553.200000000001</v>
      </c>
      <c r="K305" s="182"/>
      <c r="L305" s="182"/>
      <c r="M305" s="182"/>
      <c r="N305" s="182"/>
      <c r="O305" s="182"/>
      <c r="P305" s="183">
        <f>SUM(P300:P304)</f>
        <v>20414.55</v>
      </c>
    </row>
    <row r="306" spans="1:16" ht="15" customHeight="1" thickBot="1">
      <c r="A306" s="576" t="s">
        <v>249</v>
      </c>
      <c r="B306" s="577"/>
      <c r="C306" s="577"/>
      <c r="D306" s="577"/>
      <c r="E306" s="577"/>
      <c r="F306" s="577"/>
      <c r="G306" s="577"/>
      <c r="H306" s="577"/>
      <c r="I306" s="577"/>
      <c r="J306" s="577"/>
      <c r="K306" s="577"/>
      <c r="L306" s="577"/>
      <c r="M306" s="577"/>
      <c r="N306" s="577"/>
      <c r="O306" s="577"/>
      <c r="P306" s="578"/>
    </row>
    <row r="307" spans="1:16" ht="15" customHeight="1">
      <c r="A307"/>
      <c r="P307" s="68"/>
    </row>
    <row r="308" spans="1:16" ht="15" customHeight="1">
      <c r="P308" s="68"/>
    </row>
    <row r="309" spans="1:16" ht="15" customHeight="1">
      <c r="A309" s="67"/>
      <c r="P309" s="68"/>
    </row>
    <row r="310" spans="1:16" ht="15" customHeight="1">
      <c r="A310" s="67"/>
      <c r="P310" s="68"/>
    </row>
    <row r="311" spans="1:16" ht="15" customHeight="1">
      <c r="A311" s="67"/>
      <c r="P311" s="68"/>
    </row>
    <row r="312" spans="1:16" ht="15" customHeight="1">
      <c r="A312" s="67"/>
      <c r="P312" s="68"/>
    </row>
    <row r="313" spans="1:16" ht="15" customHeight="1">
      <c r="A313" s="67"/>
      <c r="P313" s="68"/>
    </row>
    <row r="314" spans="1:16" ht="15" customHeight="1">
      <c r="A314" s="67"/>
      <c r="P314" s="68"/>
    </row>
    <row r="315" spans="1:16" ht="15" customHeight="1">
      <c r="A315" s="67"/>
      <c r="P315" s="68"/>
    </row>
    <row r="316" spans="1:16" ht="15" customHeight="1">
      <c r="A316" s="67"/>
      <c r="P316" s="68"/>
    </row>
    <row r="317" spans="1:16" ht="15" customHeight="1">
      <c r="A317" s="67"/>
      <c r="P317" s="68"/>
    </row>
    <row r="318" spans="1:16" ht="15" customHeight="1">
      <c r="A318" s="67"/>
      <c r="P318" s="68"/>
    </row>
    <row r="319" spans="1:16" ht="15" customHeight="1">
      <c r="A319" s="67"/>
      <c r="P319" s="68"/>
    </row>
    <row r="320" spans="1:16" ht="15" customHeight="1">
      <c r="A320" s="67"/>
      <c r="P320" s="68"/>
    </row>
    <row r="321" spans="1:16" ht="15" customHeight="1">
      <c r="A321" s="67"/>
      <c r="P321" s="68"/>
    </row>
    <row r="322" spans="1:16" ht="15" customHeight="1">
      <c r="A322" s="67"/>
      <c r="P322" s="68"/>
    </row>
    <row r="323" spans="1:16" ht="15" customHeight="1">
      <c r="A323" s="67"/>
      <c r="P323" s="68"/>
    </row>
    <row r="324" spans="1:16" ht="15" customHeight="1">
      <c r="A324" s="67"/>
      <c r="P324" s="68"/>
    </row>
    <row r="325" spans="1:16" ht="15" customHeight="1">
      <c r="A325" s="67"/>
      <c r="P325" s="68"/>
    </row>
    <row r="326" spans="1:16" ht="15" customHeight="1">
      <c r="A326" s="67"/>
      <c r="P326" s="68"/>
    </row>
    <row r="327" spans="1:16" ht="15" customHeight="1">
      <c r="A327" s="67"/>
      <c r="P327" s="68"/>
    </row>
    <row r="328" spans="1:16" ht="15" customHeight="1">
      <c r="A328" s="67"/>
      <c r="P328" s="68"/>
    </row>
    <row r="329" spans="1:16" ht="15" customHeight="1">
      <c r="A329" s="67"/>
      <c r="P329" s="68"/>
    </row>
    <row r="330" spans="1:16" ht="15" customHeight="1">
      <c r="A330" s="67"/>
      <c r="P330" s="68"/>
    </row>
    <row r="331" spans="1:16" ht="15" customHeight="1">
      <c r="A331" s="67"/>
      <c r="P331" s="68"/>
    </row>
    <row r="332" spans="1:16" ht="15" customHeight="1">
      <c r="A332" s="67"/>
      <c r="P332" s="68"/>
    </row>
    <row r="333" spans="1:16" ht="15" customHeight="1">
      <c r="A333" s="67"/>
      <c r="P333" s="68"/>
    </row>
    <row r="334" spans="1:16" ht="15" customHeight="1">
      <c r="A334" s="67"/>
      <c r="P334" s="68"/>
    </row>
    <row r="335" spans="1:16" ht="15" customHeight="1" thickBot="1">
      <c r="A335" s="67"/>
      <c r="P335" s="68"/>
    </row>
    <row r="336" spans="1:16" ht="15" hidden="1" customHeight="1">
      <c r="A336" s="67"/>
      <c r="P336" s="68"/>
    </row>
    <row r="337" spans="1:16" ht="15" hidden="1" customHeight="1">
      <c r="A337" s="67"/>
      <c r="P337" s="68"/>
    </row>
    <row r="338" spans="1:16" ht="15" hidden="1" customHeight="1" thickBot="1">
      <c r="A338" s="67"/>
      <c r="P338" s="68"/>
    </row>
    <row r="339" spans="1:16" ht="15" hidden="1" customHeight="1" thickBot="1">
      <c r="A339" s="576" t="s">
        <v>250</v>
      </c>
      <c r="B339" s="577"/>
      <c r="C339" s="577"/>
      <c r="D339" s="577"/>
      <c r="E339" s="577"/>
      <c r="F339" s="577"/>
      <c r="G339" s="577"/>
      <c r="H339" s="577"/>
      <c r="I339" s="577"/>
      <c r="J339" s="577"/>
      <c r="K339" s="577"/>
      <c r="L339" s="577"/>
      <c r="M339" s="577"/>
      <c r="N339" s="577"/>
      <c r="O339" s="577"/>
      <c r="P339" s="578"/>
    </row>
    <row r="340" spans="1:16" ht="15" hidden="1" customHeight="1">
      <c r="A340" s="67"/>
      <c r="P340" s="68"/>
    </row>
    <row r="341" spans="1:16" ht="15" hidden="1" customHeight="1">
      <c r="A341" s="67"/>
      <c r="P341" s="68"/>
    </row>
    <row r="342" spans="1:16" ht="15" hidden="1" customHeight="1">
      <c r="A342" s="67"/>
      <c r="P342" s="68"/>
    </row>
    <row r="343" spans="1:16" ht="15" hidden="1" customHeight="1">
      <c r="A343" s="67"/>
      <c r="P343" s="68"/>
    </row>
    <row r="344" spans="1:16" ht="15" hidden="1" customHeight="1">
      <c r="A344" s="67"/>
      <c r="P344" s="68"/>
    </row>
    <row r="345" spans="1:16" ht="15" hidden="1" customHeight="1">
      <c r="A345" s="67"/>
      <c r="P345" s="68"/>
    </row>
    <row r="346" spans="1:16" ht="15" hidden="1" customHeight="1">
      <c r="A346" s="67"/>
      <c r="P346" s="68"/>
    </row>
    <row r="347" spans="1:16" ht="15" hidden="1" customHeight="1">
      <c r="A347" s="67"/>
      <c r="P347" s="68"/>
    </row>
    <row r="348" spans="1:16" ht="15" hidden="1" customHeight="1">
      <c r="A348" s="67"/>
      <c r="P348" s="68"/>
    </row>
    <row r="349" spans="1:16" ht="15" hidden="1" customHeight="1">
      <c r="A349" s="67"/>
      <c r="P349" s="68"/>
    </row>
    <row r="350" spans="1:16" ht="15" hidden="1" customHeight="1">
      <c r="A350" s="67"/>
      <c r="P350" s="68"/>
    </row>
    <row r="351" spans="1:16" ht="15" hidden="1" customHeight="1">
      <c r="A351" s="67"/>
      <c r="P351" s="68"/>
    </row>
    <row r="352" spans="1:16" ht="15" hidden="1" customHeight="1">
      <c r="A352" s="67"/>
      <c r="P352" s="68"/>
    </row>
    <row r="353" spans="1:16" ht="15" hidden="1" customHeight="1">
      <c r="A353" s="67"/>
      <c r="P353" s="68"/>
    </row>
    <row r="354" spans="1:16" ht="15" hidden="1" customHeight="1">
      <c r="A354" s="67"/>
      <c r="P354" s="68"/>
    </row>
    <row r="355" spans="1:16" ht="15" hidden="1" customHeight="1">
      <c r="A355" s="67"/>
      <c r="P355" s="68"/>
    </row>
    <row r="356" spans="1:16" ht="15" hidden="1" customHeight="1">
      <c r="A356" s="67"/>
      <c r="P356" s="68"/>
    </row>
    <row r="357" spans="1:16" ht="15" hidden="1" customHeight="1">
      <c r="A357" s="67"/>
      <c r="P357" s="68"/>
    </row>
    <row r="358" spans="1:16" ht="15" hidden="1" customHeight="1">
      <c r="A358" s="67"/>
      <c r="P358" s="68"/>
    </row>
    <row r="359" spans="1:16" ht="15" hidden="1" customHeight="1">
      <c r="A359" s="67"/>
      <c r="P359" s="68"/>
    </row>
    <row r="360" spans="1:16" ht="15" hidden="1" customHeight="1">
      <c r="A360" s="67"/>
      <c r="P360" s="68"/>
    </row>
    <row r="361" spans="1:16" ht="15" hidden="1" customHeight="1">
      <c r="A361" s="67"/>
      <c r="P361" s="68"/>
    </row>
    <row r="362" spans="1:16" ht="15" hidden="1" customHeight="1">
      <c r="A362" s="67"/>
      <c r="P362" s="68"/>
    </row>
    <row r="363" spans="1:16" ht="15" hidden="1" customHeight="1">
      <c r="A363" s="67"/>
      <c r="P363" s="68"/>
    </row>
    <row r="364" spans="1:16" ht="15" hidden="1" customHeight="1">
      <c r="A364" s="67"/>
      <c r="P364" s="68"/>
    </row>
    <row r="365" spans="1:16" ht="15" hidden="1" customHeight="1">
      <c r="A365" s="67"/>
      <c r="P365" s="68"/>
    </row>
    <row r="366" spans="1:16" ht="15" hidden="1" customHeight="1">
      <c r="A366" s="67"/>
      <c r="P366" s="68"/>
    </row>
    <row r="367" spans="1:16" ht="15" hidden="1" customHeight="1">
      <c r="A367" s="67"/>
      <c r="P367" s="68"/>
    </row>
    <row r="368" spans="1:16" ht="15" hidden="1" customHeight="1">
      <c r="A368" s="67"/>
      <c r="P368" s="68"/>
    </row>
    <row r="369" spans="1:16" ht="15" hidden="1" customHeight="1">
      <c r="A369" s="67"/>
      <c r="N369" s="405"/>
      <c r="O369" s="197" t="s">
        <v>251</v>
      </c>
      <c r="P369" s="68"/>
    </row>
    <row r="370" spans="1:16" ht="15" hidden="1" customHeight="1">
      <c r="A370" s="67"/>
      <c r="N370" s="406"/>
      <c r="O370" s="200" t="s">
        <v>252</v>
      </c>
      <c r="P370" s="68"/>
    </row>
    <row r="371" spans="1:16" ht="15" hidden="1" customHeight="1" thickBot="1">
      <c r="A371" s="67"/>
      <c r="N371" s="407"/>
      <c r="O371" s="200" t="s">
        <v>253</v>
      </c>
      <c r="P371" s="68"/>
    </row>
    <row r="372" spans="1:16" ht="15" customHeight="1" thickBot="1">
      <c r="A372" s="576" t="s">
        <v>254</v>
      </c>
      <c r="B372" s="577"/>
      <c r="C372" s="577"/>
      <c r="D372" s="577"/>
      <c r="E372" s="577"/>
      <c r="F372" s="577"/>
      <c r="G372" s="577"/>
      <c r="H372" s="577"/>
      <c r="I372" s="577"/>
      <c r="J372" s="577"/>
      <c r="K372" s="577"/>
      <c r="L372" s="577"/>
      <c r="M372" s="577"/>
      <c r="N372" s="577"/>
      <c r="O372" s="577"/>
      <c r="P372" s="578"/>
    </row>
    <row r="373" spans="1:16" ht="15" customHeight="1">
      <c r="A373"/>
      <c r="B373" s="72"/>
      <c r="C373" s="72"/>
      <c r="D373" s="72"/>
      <c r="E373" s="72"/>
      <c r="F373" s="72"/>
      <c r="G373" s="72"/>
      <c r="H373" s="72"/>
      <c r="I373" s="72"/>
      <c r="J373" s="72"/>
      <c r="K373" s="72"/>
      <c r="L373" s="72"/>
      <c r="M373" s="72"/>
      <c r="N373" s="72"/>
      <c r="O373" s="72"/>
      <c r="P373" s="73"/>
    </row>
    <row r="374" spans="1:16" ht="15" customHeight="1">
      <c r="A374" s="67"/>
      <c r="P374" s="68"/>
    </row>
    <row r="375" spans="1:16" ht="15" customHeight="1">
      <c r="A375" s="67"/>
      <c r="P375" s="68"/>
    </row>
    <row r="376" spans="1:16" ht="15" customHeight="1">
      <c r="A376" s="67"/>
      <c r="P376" s="68"/>
    </row>
    <row r="377" spans="1:16" ht="15" customHeight="1">
      <c r="A377" s="67"/>
      <c r="P377" s="68"/>
    </row>
    <row r="378" spans="1:16" ht="15" customHeight="1">
      <c r="A378" s="67"/>
      <c r="P378" s="68"/>
    </row>
    <row r="379" spans="1:16" ht="15" customHeight="1">
      <c r="A379" s="67"/>
      <c r="P379" s="68"/>
    </row>
    <row r="380" spans="1:16" ht="15" customHeight="1">
      <c r="A380" s="67"/>
      <c r="P380" s="68"/>
    </row>
    <row r="381" spans="1:16" ht="15" customHeight="1">
      <c r="A381" s="67"/>
      <c r="P381" s="68"/>
    </row>
    <row r="382" spans="1:16" ht="15" customHeight="1">
      <c r="A382" s="67"/>
      <c r="P382" s="68"/>
    </row>
    <row r="383" spans="1:16" ht="15" customHeight="1">
      <c r="A383" s="67"/>
      <c r="P383" s="68"/>
    </row>
    <row r="384" spans="1:16" ht="15" customHeight="1">
      <c r="A384" s="67"/>
      <c r="P384" s="68"/>
    </row>
    <row r="385" spans="1:16" ht="15" customHeight="1">
      <c r="A385" s="67"/>
      <c r="P385" s="68"/>
    </row>
    <row r="386" spans="1:16" ht="15" customHeight="1">
      <c r="A386" s="67"/>
      <c r="P386" s="68"/>
    </row>
    <row r="387" spans="1:16" ht="15" customHeight="1">
      <c r="A387" s="67"/>
      <c r="P387" s="68"/>
    </row>
    <row r="388" spans="1:16" ht="15" customHeight="1">
      <c r="A388" s="67"/>
      <c r="P388" s="68"/>
    </row>
    <row r="389" spans="1:16" ht="15" customHeight="1">
      <c r="A389" s="67"/>
      <c r="P389" s="68"/>
    </row>
    <row r="390" spans="1:16" ht="15" customHeight="1">
      <c r="A390" s="67"/>
      <c r="P390" s="68"/>
    </row>
    <row r="391" spans="1:16" ht="15" customHeight="1">
      <c r="A391" s="67"/>
      <c r="P391" s="68"/>
    </row>
    <row r="392" spans="1:16" ht="15" customHeight="1">
      <c r="A392" s="67"/>
      <c r="P392" s="68"/>
    </row>
    <row r="393" spans="1:16" ht="15" customHeight="1">
      <c r="A393" s="67"/>
      <c r="P393" s="68"/>
    </row>
    <row r="394" spans="1:16" ht="15" customHeight="1">
      <c r="A394" s="67"/>
      <c r="P394" s="68"/>
    </row>
    <row r="395" spans="1:16" ht="15" customHeight="1">
      <c r="A395" s="67"/>
      <c r="P395" s="68"/>
    </row>
    <row r="396" spans="1:16" ht="15" customHeight="1">
      <c r="A396" s="67"/>
      <c r="P396" s="68"/>
    </row>
    <row r="397" spans="1:16" ht="15" customHeight="1">
      <c r="A397" s="67"/>
      <c r="P397" s="68"/>
    </row>
    <row r="398" spans="1:16" ht="15" customHeight="1" thickBot="1">
      <c r="A398" s="67"/>
      <c r="P398" s="68"/>
    </row>
    <row r="399" spans="1:16" ht="15" customHeight="1" thickBot="1">
      <c r="A399" s="576" t="s">
        <v>255</v>
      </c>
      <c r="B399" s="577"/>
      <c r="C399" s="577"/>
      <c r="D399" s="577"/>
      <c r="E399" s="577"/>
      <c r="F399" s="577"/>
      <c r="G399" s="577"/>
      <c r="H399" s="577"/>
      <c r="I399" s="577"/>
      <c r="J399" s="577"/>
      <c r="K399" s="577"/>
      <c r="L399" s="577"/>
      <c r="M399" s="577"/>
      <c r="N399" s="577"/>
      <c r="O399" s="577"/>
      <c r="P399" s="578"/>
    </row>
    <row r="400" spans="1:16" ht="15" customHeight="1">
      <c r="A400" s="67"/>
      <c r="P400" s="68"/>
    </row>
    <row r="401" spans="1:16" ht="15" customHeight="1">
      <c r="A401" s="67"/>
      <c r="N401" s="267"/>
      <c r="O401" s="201"/>
      <c r="P401" s="68"/>
    </row>
    <row r="402" spans="1:16" ht="15" customHeight="1">
      <c r="A402" s="67"/>
      <c r="N402" s="199"/>
      <c r="O402" s="201"/>
      <c r="P402" s="68"/>
    </row>
    <row r="403" spans="1:16" ht="15" customHeight="1">
      <c r="A403" s="67"/>
      <c r="P403" s="68"/>
    </row>
    <row r="404" spans="1:16" ht="15" customHeight="1">
      <c r="A404" s="67"/>
      <c r="P404" s="68"/>
    </row>
    <row r="405" spans="1:16" ht="15" customHeight="1">
      <c r="A405" s="67"/>
      <c r="P405" s="68"/>
    </row>
    <row r="406" spans="1:16" ht="15" customHeight="1">
      <c r="A406" s="67"/>
      <c r="P406" s="68"/>
    </row>
    <row r="407" spans="1:16" ht="15" customHeight="1">
      <c r="A407" s="67"/>
      <c r="P407" s="68"/>
    </row>
    <row r="408" spans="1:16" ht="15" customHeight="1">
      <c r="A408" s="67"/>
      <c r="P408" s="68"/>
    </row>
    <row r="409" spans="1:16" ht="15" customHeight="1">
      <c r="A409" s="67"/>
      <c r="P409" s="68"/>
    </row>
    <row r="410" spans="1:16" ht="15" customHeight="1">
      <c r="A410" s="67"/>
      <c r="P410" s="68"/>
    </row>
    <row r="411" spans="1:16" ht="15" customHeight="1">
      <c r="A411" s="67"/>
      <c r="P411" s="68"/>
    </row>
    <row r="412" spans="1:16" ht="15" customHeight="1">
      <c r="A412" s="67"/>
      <c r="P412" s="68"/>
    </row>
    <row r="413" spans="1:16" ht="15" customHeight="1">
      <c r="A413" s="67"/>
      <c r="P413" s="68"/>
    </row>
    <row r="414" spans="1:16" ht="15" customHeight="1">
      <c r="A414" s="67"/>
      <c r="P414" s="68"/>
    </row>
    <row r="415" spans="1:16" ht="15" customHeight="1">
      <c r="A415" s="67"/>
      <c r="P415" s="68"/>
    </row>
    <row r="416" spans="1:16" ht="15" customHeight="1">
      <c r="A416" s="67"/>
      <c r="P416" s="68"/>
    </row>
    <row r="417" spans="1:16" ht="15" customHeight="1">
      <c r="A417" s="67"/>
      <c r="P417" s="68"/>
    </row>
    <row r="418" spans="1:16" ht="15" customHeight="1">
      <c r="A418" s="67"/>
      <c r="P418" s="68"/>
    </row>
    <row r="419" spans="1:16" ht="15" customHeight="1">
      <c r="A419" s="67"/>
      <c r="P419" s="68"/>
    </row>
    <row r="420" spans="1:16" ht="15" customHeight="1">
      <c r="A420" s="67"/>
      <c r="P420" s="68"/>
    </row>
    <row r="421" spans="1:16" ht="15" customHeight="1">
      <c r="A421" s="67"/>
      <c r="P421" s="68"/>
    </row>
    <row r="422" spans="1:16" ht="15" customHeight="1">
      <c r="A422" s="67"/>
      <c r="P422" s="68"/>
    </row>
    <row r="423" spans="1:16" ht="15" customHeight="1">
      <c r="A423" s="67"/>
      <c r="P423" s="68"/>
    </row>
    <row r="424" spans="1:16" ht="15" customHeight="1">
      <c r="A424" s="67"/>
      <c r="P424" s="68"/>
    </row>
    <row r="425" spans="1:16" ht="15" customHeight="1" thickBot="1">
      <c r="A425" s="67"/>
      <c r="P425" s="68"/>
    </row>
    <row r="426" spans="1:16" ht="15.75" thickBot="1">
      <c r="A426" s="576" t="s">
        <v>256</v>
      </c>
      <c r="B426" s="577"/>
      <c r="C426" s="577"/>
      <c r="D426" s="577"/>
      <c r="E426" s="577"/>
      <c r="F426" s="577"/>
      <c r="G426" s="577"/>
      <c r="H426" s="577"/>
      <c r="I426" s="577"/>
      <c r="J426" s="577"/>
      <c r="K426" s="577"/>
      <c r="L426" s="577"/>
      <c r="M426" s="577"/>
      <c r="N426" s="577"/>
      <c r="O426" s="577"/>
      <c r="P426" s="578"/>
    </row>
    <row r="427" spans="1:16" ht="15" customHeight="1">
      <c r="A427" s="67"/>
      <c r="P427" s="68"/>
    </row>
    <row r="428" spans="1:16" ht="15" customHeight="1">
      <c r="A428" s="67"/>
      <c r="P428" s="68"/>
    </row>
    <row r="429" spans="1:16" ht="15" customHeight="1">
      <c r="A429" s="67"/>
      <c r="P429" s="68"/>
    </row>
    <row r="430" spans="1:16" ht="15" customHeight="1">
      <c r="A430" s="67"/>
      <c r="P430" s="68"/>
    </row>
    <row r="431" spans="1:16" ht="15" customHeight="1">
      <c r="A431" s="67"/>
      <c r="P431" s="68"/>
    </row>
    <row r="432" spans="1:16" ht="15" customHeight="1">
      <c r="A432" s="67"/>
      <c r="P432" s="68"/>
    </row>
    <row r="433" spans="1:16" ht="15" customHeight="1">
      <c r="A433" s="67"/>
      <c r="P433" s="68"/>
    </row>
    <row r="434" spans="1:16" ht="15" customHeight="1">
      <c r="A434" s="67"/>
      <c r="P434" s="68"/>
    </row>
    <row r="435" spans="1:16" ht="15" customHeight="1">
      <c r="A435" s="67"/>
      <c r="P435" s="68"/>
    </row>
    <row r="436" spans="1:16" ht="15" customHeight="1">
      <c r="A436" s="67"/>
      <c r="P436" s="68"/>
    </row>
    <row r="437" spans="1:16" ht="15" customHeight="1">
      <c r="A437" s="67"/>
      <c r="P437" s="68"/>
    </row>
    <row r="438" spans="1:16" ht="15" customHeight="1">
      <c r="A438" s="67"/>
      <c r="P438" s="68"/>
    </row>
    <row r="439" spans="1:16" ht="15" customHeight="1">
      <c r="A439" s="67"/>
      <c r="P439" s="68"/>
    </row>
    <row r="440" spans="1:16" ht="15" customHeight="1">
      <c r="A440" s="67"/>
      <c r="P440" s="68"/>
    </row>
    <row r="441" spans="1:16" ht="15" customHeight="1">
      <c r="A441" s="67"/>
      <c r="P441" s="68"/>
    </row>
    <row r="442" spans="1:16" ht="15" customHeight="1">
      <c r="A442" s="67"/>
      <c r="P442" s="68"/>
    </row>
    <row r="443" spans="1:16" ht="15" customHeight="1">
      <c r="A443" s="67"/>
      <c r="P443" s="68"/>
    </row>
    <row r="444" spans="1:16" ht="15" customHeight="1">
      <c r="A444" s="67"/>
      <c r="P444" s="68"/>
    </row>
    <row r="445" spans="1:16" ht="15" customHeight="1">
      <c r="A445" s="67"/>
      <c r="P445" s="68"/>
    </row>
    <row r="446" spans="1:16" ht="15" customHeight="1">
      <c r="A446" s="67"/>
      <c r="P446" s="68"/>
    </row>
    <row r="447" spans="1:16" ht="15" customHeight="1">
      <c r="A447" s="67"/>
      <c r="P447" s="68"/>
    </row>
    <row r="448" spans="1:16" ht="15" customHeight="1">
      <c r="A448" s="67"/>
      <c r="P448" s="68"/>
    </row>
    <row r="449" spans="1:16" ht="15" customHeight="1">
      <c r="A449" s="67"/>
      <c r="P449" s="68"/>
    </row>
    <row r="450" spans="1:16" ht="15" customHeight="1">
      <c r="A450" s="67"/>
      <c r="P450" s="68"/>
    </row>
    <row r="451" spans="1:16" ht="15" customHeight="1">
      <c r="A451" s="67"/>
      <c r="P451" s="68"/>
    </row>
    <row r="452" spans="1:16" ht="15" customHeight="1">
      <c r="A452" s="67"/>
      <c r="P452" s="68"/>
    </row>
    <row r="453" spans="1:16" ht="15" customHeight="1">
      <c r="A453" s="67"/>
      <c r="P453" s="68"/>
    </row>
    <row r="454" spans="1:16" ht="15" customHeight="1">
      <c r="A454" s="67"/>
      <c r="P454" s="68"/>
    </row>
    <row r="455" spans="1:16" ht="15" customHeight="1">
      <c r="A455" s="67"/>
      <c r="P455" s="68"/>
    </row>
    <row r="456" spans="1:16" ht="15" customHeight="1">
      <c r="A456" s="67"/>
      <c r="P456" s="68"/>
    </row>
    <row r="457" spans="1:16" ht="15" customHeight="1">
      <c r="A457" s="67"/>
      <c r="P457" s="68"/>
    </row>
    <row r="458" spans="1:16" ht="15" customHeight="1">
      <c r="A458" s="67"/>
      <c r="P458" s="68"/>
    </row>
    <row r="459" spans="1:16" ht="15" customHeight="1">
      <c r="A459" s="67"/>
      <c r="P459" s="68"/>
    </row>
    <row r="460" spans="1:16" ht="15" customHeight="1">
      <c r="A460" s="67"/>
      <c r="P460" s="68"/>
    </row>
    <row r="461" spans="1:16" ht="15" customHeight="1">
      <c r="A461" s="67"/>
      <c r="P461" s="68"/>
    </row>
    <row r="462" spans="1:16" ht="15" hidden="1" customHeight="1">
      <c r="A462" s="67"/>
      <c r="P462" s="68"/>
    </row>
    <row r="463" spans="1:16" ht="15" hidden="1" customHeight="1">
      <c r="A463" s="67"/>
      <c r="P463" s="68"/>
    </row>
    <row r="464" spans="1:16" ht="15" hidden="1" customHeight="1">
      <c r="A464" s="67"/>
      <c r="P464" s="68"/>
    </row>
    <row r="465" spans="1:16" ht="15" hidden="1" customHeight="1">
      <c r="A465" s="67"/>
      <c r="P465" s="68"/>
    </row>
    <row r="466" spans="1:16" ht="15" hidden="1" customHeight="1">
      <c r="A466" s="67"/>
      <c r="P466" s="68"/>
    </row>
    <row r="467" spans="1:16" ht="15" hidden="1" customHeight="1">
      <c r="A467" s="67"/>
      <c r="P467" s="68"/>
    </row>
    <row r="468" spans="1:16" ht="15" hidden="1" customHeight="1">
      <c r="A468" s="67"/>
      <c r="P468" s="68"/>
    </row>
    <row r="469" spans="1:16" ht="15" hidden="1" customHeight="1">
      <c r="A469" s="67"/>
      <c r="P469" s="68"/>
    </row>
    <row r="470" spans="1:16" ht="15" hidden="1" customHeight="1">
      <c r="A470" s="67"/>
      <c r="P470" s="68"/>
    </row>
    <row r="471" spans="1:16" ht="15" hidden="1" customHeight="1">
      <c r="A471" s="67"/>
      <c r="P471" s="68"/>
    </row>
    <row r="472" spans="1:16" ht="15" hidden="1" customHeight="1">
      <c r="A472" s="67"/>
      <c r="P472" s="68"/>
    </row>
    <row r="473" spans="1:16" ht="15" hidden="1" customHeight="1">
      <c r="A473" s="67"/>
      <c r="P473" s="68"/>
    </row>
    <row r="474" spans="1:16" ht="15" hidden="1" customHeight="1">
      <c r="A474" s="67"/>
      <c r="P474" s="68"/>
    </row>
    <row r="475" spans="1:16" ht="15" hidden="1" customHeight="1">
      <c r="A475" s="67"/>
      <c r="P475" s="68"/>
    </row>
    <row r="476" spans="1:16" ht="15" hidden="1" customHeight="1">
      <c r="A476" s="67"/>
      <c r="P476" s="68"/>
    </row>
    <row r="477" spans="1:16" ht="15" hidden="1" customHeight="1">
      <c r="A477" s="67"/>
      <c r="P477" s="68"/>
    </row>
    <row r="478" spans="1:16" ht="15" hidden="1" customHeight="1">
      <c r="A478" s="67"/>
      <c r="P478" s="68"/>
    </row>
    <row r="479" spans="1:16" ht="15" hidden="1" customHeight="1">
      <c r="A479" s="67"/>
      <c r="P479" s="68"/>
    </row>
    <row r="480" spans="1:16" ht="15" hidden="1" customHeight="1">
      <c r="A480" s="67"/>
      <c r="P480" s="68"/>
    </row>
    <row r="481" spans="1:16" ht="15" hidden="1" customHeight="1">
      <c r="A481" s="67"/>
      <c r="P481" s="68"/>
    </row>
    <row r="482" spans="1:16" ht="15" hidden="1" customHeight="1">
      <c r="A482" s="67"/>
      <c r="P482" s="68"/>
    </row>
    <row r="483" spans="1:16" ht="15" hidden="1" customHeight="1">
      <c r="A483" s="67"/>
      <c r="P483" s="68"/>
    </row>
    <row r="484" spans="1:16" ht="15" hidden="1" customHeight="1">
      <c r="A484" s="67"/>
      <c r="P484" s="68"/>
    </row>
    <row r="485" spans="1:16" ht="15" hidden="1" customHeight="1">
      <c r="A485" s="67"/>
      <c r="P485" s="68"/>
    </row>
    <row r="486" spans="1:16" ht="15" hidden="1" customHeight="1">
      <c r="A486" s="67"/>
      <c r="P486" s="68"/>
    </row>
    <row r="487" spans="1:16" ht="15" hidden="1" customHeight="1">
      <c r="A487" s="67"/>
      <c r="P487" s="68"/>
    </row>
    <row r="488" spans="1:16" ht="15" hidden="1" customHeight="1">
      <c r="A488" s="67"/>
      <c r="P488" s="68"/>
    </row>
    <row r="489" spans="1:16" ht="15" hidden="1" customHeight="1">
      <c r="A489" s="67"/>
      <c r="P489" s="68"/>
    </row>
    <row r="490" spans="1:16" ht="15" hidden="1" customHeight="1">
      <c r="A490" s="67"/>
      <c r="P490" s="68"/>
    </row>
    <row r="491" spans="1:16" ht="15" hidden="1" customHeight="1">
      <c r="A491" s="67"/>
      <c r="P491" s="68"/>
    </row>
    <row r="492" spans="1:16" ht="15" hidden="1" customHeight="1">
      <c r="A492" s="67"/>
      <c r="P492" s="68"/>
    </row>
    <row r="493" spans="1:16" ht="15" hidden="1" customHeight="1">
      <c r="A493" s="67"/>
      <c r="P493" s="68"/>
    </row>
    <row r="494" spans="1:16" ht="15" hidden="1" customHeight="1">
      <c r="A494" s="67"/>
      <c r="P494" s="68"/>
    </row>
    <row r="495" spans="1:16" ht="15" hidden="1" customHeight="1">
      <c r="A495" s="67"/>
      <c r="P495" s="68"/>
    </row>
    <row r="496" spans="1:16" ht="15" hidden="1" customHeight="1">
      <c r="A496" s="67"/>
      <c r="P496" s="68"/>
    </row>
    <row r="497" spans="1:16" ht="15" hidden="1" customHeight="1">
      <c r="A497" s="67"/>
      <c r="P497" s="68"/>
    </row>
    <row r="498" spans="1:16" ht="15" hidden="1" customHeight="1">
      <c r="A498" s="67"/>
      <c r="P498" s="68"/>
    </row>
    <row r="499" spans="1:16" ht="15" hidden="1" customHeight="1">
      <c r="A499" s="67"/>
      <c r="P499" s="68"/>
    </row>
    <row r="500" spans="1:16" ht="15" hidden="1" customHeight="1">
      <c r="A500" s="67"/>
      <c r="P500" s="68"/>
    </row>
    <row r="501" spans="1:16" ht="15" hidden="1" customHeight="1">
      <c r="A501" s="67"/>
      <c r="P501" s="68"/>
    </row>
    <row r="502" spans="1:16" ht="15" hidden="1" customHeight="1">
      <c r="A502" s="67"/>
      <c r="P502" s="68"/>
    </row>
    <row r="503" spans="1:16" ht="15" hidden="1" customHeight="1">
      <c r="A503" s="67"/>
      <c r="P503" s="68"/>
    </row>
    <row r="504" spans="1:16" ht="15" hidden="1" customHeight="1">
      <c r="A504" s="67"/>
      <c r="P504" s="68"/>
    </row>
    <row r="505" spans="1:16" ht="15" hidden="1" customHeight="1">
      <c r="A505" s="67"/>
      <c r="P505" s="68"/>
    </row>
    <row r="506" spans="1:16" ht="15" hidden="1" customHeight="1">
      <c r="A506" s="67"/>
      <c r="P506" s="68"/>
    </row>
    <row r="507" spans="1:16" ht="15" hidden="1" customHeight="1">
      <c r="A507" s="67"/>
      <c r="P507" s="68"/>
    </row>
    <row r="508" spans="1:16" ht="15" hidden="1" customHeight="1">
      <c r="A508" s="67"/>
      <c r="P508" s="68"/>
    </row>
    <row r="509" spans="1:16" ht="15" hidden="1" customHeight="1">
      <c r="A509" s="67"/>
      <c r="P509" s="68"/>
    </row>
    <row r="510" spans="1:16" ht="15" hidden="1" customHeight="1">
      <c r="A510" s="67"/>
      <c r="P510" s="68"/>
    </row>
    <row r="511" spans="1:16" ht="15" hidden="1" customHeight="1">
      <c r="A511" s="67"/>
      <c r="P511" s="68"/>
    </row>
    <row r="512" spans="1:16" ht="15" hidden="1" customHeight="1">
      <c r="A512" s="67"/>
      <c r="P512" s="68"/>
    </row>
    <row r="513" spans="1:16" ht="15" hidden="1" customHeight="1">
      <c r="A513" s="67"/>
      <c r="P513" s="68"/>
    </row>
    <row r="514" spans="1:16" ht="15" hidden="1" customHeight="1">
      <c r="A514" s="67"/>
      <c r="P514" s="68"/>
    </row>
    <row r="515" spans="1:16" ht="15" hidden="1" customHeight="1">
      <c r="A515" s="67"/>
      <c r="P515" s="68"/>
    </row>
    <row r="516" spans="1:16" ht="15" hidden="1" customHeight="1">
      <c r="A516" s="67"/>
      <c r="P516" s="68"/>
    </row>
    <row r="517" spans="1:16" ht="15" hidden="1" customHeight="1" thickBot="1">
      <c r="A517" s="74"/>
      <c r="B517" s="75"/>
      <c r="C517" s="75"/>
      <c r="D517" s="75"/>
      <c r="E517" s="75"/>
      <c r="F517" s="75"/>
      <c r="G517" s="75"/>
      <c r="H517" s="75"/>
      <c r="I517" s="75"/>
      <c r="J517" s="75"/>
      <c r="K517" s="75"/>
      <c r="L517" s="75"/>
      <c r="M517" s="75"/>
      <c r="N517" s="75"/>
      <c r="O517" s="75"/>
      <c r="P517" s="76"/>
    </row>
  </sheetData>
  <mergeCells count="96">
    <mergeCell ref="B302:D302"/>
    <mergeCell ref="B303:D303"/>
    <mergeCell ref="M4:P4"/>
    <mergeCell ref="M5:P5"/>
    <mergeCell ref="B4:F4"/>
    <mergeCell ref="J4:L4"/>
    <mergeCell ref="G4:I4"/>
    <mergeCell ref="B5:F5"/>
    <mergeCell ref="G5:I5"/>
    <mergeCell ref="J5:L5"/>
    <mergeCell ref="K296:P296"/>
    <mergeCell ref="E299:J299"/>
    <mergeCell ref="K299:P299"/>
    <mergeCell ref="B300:D300"/>
    <mergeCell ref="B301:D301"/>
    <mergeCell ref="A297:D297"/>
    <mergeCell ref="A298:D298"/>
    <mergeCell ref="A190:A206"/>
    <mergeCell ref="A222:A227"/>
    <mergeCell ref="B221:D221"/>
    <mergeCell ref="A272:A279"/>
    <mergeCell ref="B279:D279"/>
    <mergeCell ref="B236:D236"/>
    <mergeCell ref="A253:A271"/>
    <mergeCell ref="A228:A236"/>
    <mergeCell ref="A237:A252"/>
    <mergeCell ref="B252:D252"/>
    <mergeCell ref="B206:D206"/>
    <mergeCell ref="A207:A221"/>
    <mergeCell ref="A289:D289"/>
    <mergeCell ref="A399:P399"/>
    <mergeCell ref="A293:D293"/>
    <mergeCell ref="A290:D290"/>
    <mergeCell ref="A372:P372"/>
    <mergeCell ref="E298:J298"/>
    <mergeCell ref="K298:P298"/>
    <mergeCell ref="A296:D296"/>
    <mergeCell ref="B304:D304"/>
    <mergeCell ref="A300:A305"/>
    <mergeCell ref="B305:D305"/>
    <mergeCell ref="A299:D299"/>
    <mergeCell ref="A292:D292"/>
    <mergeCell ref="A306:P306"/>
    <mergeCell ref="E297:J297"/>
    <mergeCell ref="K297:P297"/>
    <mergeCell ref="A295:D295"/>
    <mergeCell ref="A339:P339"/>
    <mergeCell ref="K12:P12"/>
    <mergeCell ref="B142:D142"/>
    <mergeCell ref="A128:A142"/>
    <mergeCell ref="B127:D127"/>
    <mergeCell ref="A291:D291"/>
    <mergeCell ref="B105:D105"/>
    <mergeCell ref="B117:D117"/>
    <mergeCell ref="B227:D227"/>
    <mergeCell ref="A288:D288"/>
    <mergeCell ref="A118:A127"/>
    <mergeCell ref="B12:D12"/>
    <mergeCell ref="B271:D271"/>
    <mergeCell ref="A103:A105"/>
    <mergeCell ref="A106:A117"/>
    <mergeCell ref="A143:A158"/>
    <mergeCell ref="A14:A34"/>
    <mergeCell ref="A35:A51"/>
    <mergeCell ref="A52:A72"/>
    <mergeCell ref="A102:D102"/>
    <mergeCell ref="A12:A13"/>
    <mergeCell ref="A74:A101"/>
    <mergeCell ref="B101:D101"/>
    <mergeCell ref="B34:D34"/>
    <mergeCell ref="B51:D51"/>
    <mergeCell ref="B72:D72"/>
    <mergeCell ref="A73:D73"/>
    <mergeCell ref="A1:P1"/>
    <mergeCell ref="A2:P2"/>
    <mergeCell ref="B3:D3"/>
    <mergeCell ref="E3:G3"/>
    <mergeCell ref="H3:J3"/>
    <mergeCell ref="K3:M3"/>
    <mergeCell ref="N3:P3"/>
    <mergeCell ref="A426:P426"/>
    <mergeCell ref="K6:M6"/>
    <mergeCell ref="N6:P6"/>
    <mergeCell ref="H6:J6"/>
    <mergeCell ref="A294:D294"/>
    <mergeCell ref="B287:D287"/>
    <mergeCell ref="A280:A287"/>
    <mergeCell ref="B8:E8"/>
    <mergeCell ref="B10:E10"/>
    <mergeCell ref="B158:D158"/>
    <mergeCell ref="A175:A189"/>
    <mergeCell ref="B189:D189"/>
    <mergeCell ref="B9:F9"/>
    <mergeCell ref="A159:A174"/>
    <mergeCell ref="E12:J12"/>
    <mergeCell ref="B174:D174"/>
  </mergeCells>
  <pageMargins left="0.5" right="0.5" top="0.5" bottom="0.5" header="0.3" footer="0.3"/>
  <pageSetup paperSize="9" scale="90" fitToHeight="0" orientation="portrait" horizontalDpi="300" verticalDpi="300" r:id="rId1"/>
  <headerFooter>
    <oddHeader>&amp;RNo. Form : FM/CH-018 (Lampiran)</oddHeader>
    <oddFooter>&amp;L&amp;F &amp;A&amp;RReported by Pit Control Section          Page &amp;P of &amp;N</oddFooter>
  </headerFooter>
  <rowBreaks count="7" manualBreakCount="7">
    <brk id="142" max="15" man="1"/>
    <brk id="189" max="15" man="1"/>
    <brk id="236" max="15" man="1"/>
    <brk id="299" max="15" man="1"/>
    <brk id="335" max="15" man="1"/>
    <brk id="398" max="15" man="1"/>
    <brk id="461" max="15" man="1"/>
  </rowBreaks>
  <ignoredErrors>
    <ignoredError sqref="J142 J34 J158:J206 J211:J262 N105:P105 N206:P206 N189:P189 N174:P174 N142:P142 N158:O158 N221:O221 N117:O117 N34:P34 J52:J73 N51:O51 J93:J99 J268:J269 J101:J133 N101:O102 O47 N72:O73 O52:O71 O93:O99 O103:O104 O106:O116 N127:O127 O118:O126 O128:O133 O159:O173 O175:O188 O190:O205 O211:O220 N227:O227 O222:O226 N236:O236 O228:O235 N252:O252 O237:O251 O253:O262 O268:O269 P271 J279 N279:P279 J47:J48" formula="1"/>
  </ignoredError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P80"/>
  <sheetViews>
    <sheetView showGridLines="0" view="pageBreakPreview" zoomScaleNormal="100" zoomScaleSheetLayoutView="100" workbookViewId="0">
      <pane ySplit="13" topLeftCell="A14" activePane="bottomLeft" state="frozen"/>
      <selection activeCell="O125" sqref="O125"/>
      <selection pane="bottomLeft" sqref="A1:P1"/>
    </sheetView>
  </sheetViews>
  <sheetFormatPr defaultColWidth="8.88671875" defaultRowHeight="15" customHeight="1"/>
  <cols>
    <col min="1" max="1" width="11.77734375" style="28" customWidth="1"/>
    <col min="2" max="2" width="5.88671875" style="28" customWidth="1"/>
    <col min="3" max="9" width="4.77734375" style="28" customWidth="1"/>
    <col min="10" max="10" width="7.77734375" style="28" customWidth="1"/>
    <col min="11" max="11" width="5.5546875" style="28" bestFit="1" customWidth="1"/>
    <col min="12" max="15" width="4.77734375" style="28" customWidth="1"/>
    <col min="16" max="16" width="7.77734375" style="28" customWidth="1"/>
    <col min="17" max="16384" width="8.88671875" style="28"/>
  </cols>
  <sheetData>
    <row r="1" spans="1:16" ht="18">
      <c r="A1" s="596" t="s">
        <v>257</v>
      </c>
      <c r="B1" s="597"/>
      <c r="C1" s="597"/>
      <c r="D1" s="597"/>
      <c r="E1" s="597"/>
      <c r="F1" s="597"/>
      <c r="G1" s="597"/>
      <c r="H1" s="597"/>
      <c r="I1" s="597"/>
      <c r="J1" s="597"/>
      <c r="K1" s="597"/>
      <c r="L1" s="597"/>
      <c r="M1" s="597"/>
      <c r="N1" s="597"/>
      <c r="O1" s="597"/>
      <c r="P1" s="598"/>
    </row>
    <row r="2" spans="1:16" ht="15" customHeight="1">
      <c r="A2" s="599" t="s">
        <v>92</v>
      </c>
      <c r="B2" s="600"/>
      <c r="C2" s="600"/>
      <c r="D2" s="600"/>
      <c r="E2" s="600"/>
      <c r="F2" s="600"/>
      <c r="G2" s="600"/>
      <c r="H2" s="600"/>
      <c r="I2" s="600"/>
      <c r="J2" s="600"/>
      <c r="K2" s="600"/>
      <c r="L2" s="600"/>
      <c r="M2" s="600"/>
      <c r="N2" s="600"/>
      <c r="O2" s="600"/>
      <c r="P2" s="601"/>
    </row>
    <row r="3" spans="1:16" ht="15" customHeight="1">
      <c r="A3" s="66" t="s">
        <v>93</v>
      </c>
      <c r="B3" s="579" t="s">
        <v>94</v>
      </c>
      <c r="C3" s="580"/>
      <c r="D3" s="581"/>
      <c r="E3" s="579" t="s">
        <v>95</v>
      </c>
      <c r="F3" s="580"/>
      <c r="G3" s="581"/>
      <c r="H3" s="602" t="s">
        <v>96</v>
      </c>
      <c r="I3" s="603"/>
      <c r="J3" s="604"/>
      <c r="K3" s="579" t="s">
        <v>97</v>
      </c>
      <c r="L3" s="580"/>
      <c r="M3" s="581"/>
      <c r="N3" s="579" t="s">
        <v>98</v>
      </c>
      <c r="O3" s="580"/>
      <c r="P3" s="582"/>
    </row>
    <row r="4" spans="1:16" ht="15" customHeight="1">
      <c r="A4" s="66" t="s">
        <v>99</v>
      </c>
      <c r="B4" s="502" t="s">
        <v>100</v>
      </c>
      <c r="C4" s="502"/>
      <c r="D4" s="502"/>
      <c r="E4" s="502"/>
      <c r="F4" s="502"/>
      <c r="G4" s="502" t="s">
        <v>101</v>
      </c>
      <c r="H4" s="502"/>
      <c r="I4" s="502"/>
      <c r="J4" s="502" t="s">
        <v>102</v>
      </c>
      <c r="K4" s="502"/>
      <c r="L4" s="502"/>
      <c r="M4" s="631" t="s">
        <v>103</v>
      </c>
      <c r="N4" s="631"/>
      <c r="O4" s="631"/>
      <c r="P4" s="631"/>
    </row>
    <row r="5" spans="1:16" ht="15" customHeight="1">
      <c r="A5" s="66" t="s">
        <v>104</v>
      </c>
      <c r="B5" s="482" t="s">
        <v>83</v>
      </c>
      <c r="C5" s="482"/>
      <c r="D5" s="482"/>
      <c r="E5" s="482"/>
      <c r="F5" s="482"/>
      <c r="G5" s="482" t="s">
        <v>105</v>
      </c>
      <c r="H5" s="482"/>
      <c r="I5" s="482"/>
      <c r="J5" s="482" t="s">
        <v>86</v>
      </c>
      <c r="K5" s="482"/>
      <c r="L5" s="482"/>
      <c r="M5" s="632" t="s">
        <v>70</v>
      </c>
      <c r="N5" s="632"/>
      <c r="O5" s="632"/>
      <c r="P5" s="632"/>
    </row>
    <row r="6" spans="1:16" ht="15" customHeight="1">
      <c r="A6" s="66" t="s">
        <v>106</v>
      </c>
      <c r="B6" s="579" t="s">
        <v>107</v>
      </c>
      <c r="C6" s="580"/>
      <c r="D6" s="581"/>
      <c r="E6" s="602" t="s">
        <v>108</v>
      </c>
      <c r="F6" s="603"/>
      <c r="G6" s="604"/>
      <c r="H6" s="579" t="s">
        <v>109</v>
      </c>
      <c r="I6" s="580"/>
      <c r="J6" s="581"/>
      <c r="K6" s="579" t="s">
        <v>110</v>
      </c>
      <c r="L6" s="580"/>
      <c r="M6" s="581"/>
      <c r="N6" s="579" t="s">
        <v>111</v>
      </c>
      <c r="O6" s="580"/>
      <c r="P6" s="582"/>
    </row>
    <row r="7" spans="1:16" ht="5.0999999999999996" customHeight="1">
      <c r="A7" s="67"/>
      <c r="P7" s="68"/>
    </row>
    <row r="8" spans="1:16" ht="15" customHeight="1">
      <c r="A8" s="69" t="s">
        <v>112</v>
      </c>
      <c r="B8" s="588" t="s">
        <v>113</v>
      </c>
      <c r="C8" s="588"/>
      <c r="D8" s="588"/>
      <c r="E8" s="588"/>
      <c r="F8" s="29"/>
      <c r="G8" s="29"/>
      <c r="H8" s="29"/>
      <c r="I8" s="29"/>
      <c r="P8" s="68"/>
    </row>
    <row r="9" spans="1:16" ht="15" customHeight="1">
      <c r="A9" s="69" t="s">
        <v>16</v>
      </c>
      <c r="B9" s="592">
        <f>+Cover!A13-1</f>
        <v>45081</v>
      </c>
      <c r="C9" s="592"/>
      <c r="D9" s="592"/>
      <c r="E9" s="592"/>
      <c r="F9" s="592"/>
      <c r="G9" s="82"/>
      <c r="H9" s="82"/>
      <c r="I9" s="82"/>
      <c r="P9" s="68"/>
    </row>
    <row r="10" spans="1:16" ht="15" customHeight="1">
      <c r="A10" s="69" t="s">
        <v>114</v>
      </c>
      <c r="B10" s="588" t="s">
        <v>258</v>
      </c>
      <c r="C10" s="588"/>
      <c r="D10" s="588"/>
      <c r="E10" s="588"/>
      <c r="F10" s="29"/>
      <c r="G10" s="29"/>
      <c r="H10" s="29"/>
      <c r="I10" s="29"/>
      <c r="P10" s="68"/>
    </row>
    <row r="11" spans="1:16" ht="5.0999999999999996" customHeight="1">
      <c r="A11" s="67"/>
      <c r="P11" s="68"/>
    </row>
    <row r="12" spans="1:16" ht="12" customHeight="1">
      <c r="A12" s="606" t="s">
        <v>116</v>
      </c>
      <c r="B12" s="593" t="s">
        <v>117</v>
      </c>
      <c r="C12" s="594"/>
      <c r="D12" s="595"/>
      <c r="E12" s="593" t="s">
        <v>26</v>
      </c>
      <c r="F12" s="594"/>
      <c r="G12" s="594"/>
      <c r="H12" s="594"/>
      <c r="I12" s="594"/>
      <c r="J12" s="594"/>
      <c r="K12" s="593" t="s">
        <v>27</v>
      </c>
      <c r="L12" s="594"/>
      <c r="M12" s="594"/>
      <c r="N12" s="594"/>
      <c r="O12" s="594"/>
      <c r="P12" s="607"/>
    </row>
    <row r="13" spans="1:16" ht="12" customHeight="1">
      <c r="A13" s="606"/>
      <c r="B13" s="339" t="s">
        <v>118</v>
      </c>
      <c r="C13" s="339" t="s">
        <v>119</v>
      </c>
      <c r="D13" s="339" t="s">
        <v>120</v>
      </c>
      <c r="E13" s="339" t="s">
        <v>121</v>
      </c>
      <c r="F13" s="339" t="s">
        <v>122</v>
      </c>
      <c r="G13" s="339" t="s">
        <v>123</v>
      </c>
      <c r="H13" s="339" t="s">
        <v>124</v>
      </c>
      <c r="I13" s="339" t="s">
        <v>125</v>
      </c>
      <c r="J13" s="304" t="s">
        <v>126</v>
      </c>
      <c r="K13" s="339" t="s">
        <v>121</v>
      </c>
      <c r="L13" s="339" t="s">
        <v>122</v>
      </c>
      <c r="M13" s="339" t="s">
        <v>123</v>
      </c>
      <c r="N13" s="339" t="s">
        <v>124</v>
      </c>
      <c r="O13" s="339" t="s">
        <v>125</v>
      </c>
      <c r="P13" s="70" t="s">
        <v>126</v>
      </c>
    </row>
    <row r="14" spans="1:16" ht="12" customHeight="1">
      <c r="A14" s="589" t="s">
        <v>78</v>
      </c>
      <c r="B14" s="408" t="s">
        <v>259</v>
      </c>
      <c r="C14" s="345">
        <v>1</v>
      </c>
      <c r="D14" s="386" t="s">
        <v>46</v>
      </c>
      <c r="E14" s="351"/>
      <c r="F14" s="351"/>
      <c r="G14" s="351"/>
      <c r="H14" s="340">
        <v>1</v>
      </c>
      <c r="I14" s="409">
        <v>1.3</v>
      </c>
      <c r="J14" s="410">
        <f t="shared" ref="J14:J16" si="0">E14*F14*G14*H14*I14</f>
        <v>0</v>
      </c>
      <c r="K14" s="351"/>
      <c r="L14" s="351"/>
      <c r="M14" s="351"/>
      <c r="N14" s="345">
        <v>0.95</v>
      </c>
      <c r="O14" s="345">
        <v>1.3</v>
      </c>
      <c r="P14" s="189">
        <f t="shared" ref="P14" si="1">K14*L14*M14*N14*O14</f>
        <v>0</v>
      </c>
    </row>
    <row r="15" spans="1:16" ht="12" customHeight="1">
      <c r="A15" s="590"/>
      <c r="B15" s="411" t="s">
        <v>260</v>
      </c>
      <c r="C15" s="345">
        <v>2</v>
      </c>
      <c r="D15" s="386" t="s">
        <v>46</v>
      </c>
      <c r="E15" s="412"/>
      <c r="F15" s="413"/>
      <c r="G15" s="412"/>
      <c r="H15" s="340">
        <v>1</v>
      </c>
      <c r="I15" s="409">
        <v>1.3</v>
      </c>
      <c r="J15" s="410">
        <f t="shared" si="0"/>
        <v>0</v>
      </c>
      <c r="K15" s="414"/>
      <c r="L15" s="415"/>
      <c r="M15" s="415"/>
      <c r="N15" s="345">
        <v>0.95</v>
      </c>
      <c r="O15" s="345">
        <v>1.3</v>
      </c>
      <c r="P15" s="189">
        <f t="shared" ref="P15:P20" si="2">K15*L15*M15*N15*O15</f>
        <v>0</v>
      </c>
    </row>
    <row r="16" spans="1:16" ht="12" customHeight="1">
      <c r="A16" s="590"/>
      <c r="B16" s="411" t="s">
        <v>261</v>
      </c>
      <c r="C16" s="345">
        <v>3</v>
      </c>
      <c r="D16" s="386" t="s">
        <v>46</v>
      </c>
      <c r="E16" s="364"/>
      <c r="F16" s="378"/>
      <c r="G16" s="378"/>
      <c r="H16" s="364">
        <v>1</v>
      </c>
      <c r="I16" s="416">
        <v>1.3</v>
      </c>
      <c r="J16" s="417">
        <f t="shared" si="0"/>
        <v>0</v>
      </c>
      <c r="K16" s="418"/>
      <c r="L16" s="418"/>
      <c r="M16" s="418"/>
      <c r="N16" s="345">
        <v>0.95</v>
      </c>
      <c r="O16" s="345">
        <v>1.3</v>
      </c>
      <c r="P16" s="189">
        <f t="shared" si="2"/>
        <v>0</v>
      </c>
    </row>
    <row r="17" spans="1:16" ht="12" customHeight="1">
      <c r="A17" s="590"/>
      <c r="B17" s="411" t="s">
        <v>262</v>
      </c>
      <c r="C17" s="345">
        <v>4</v>
      </c>
      <c r="D17" s="386" t="s">
        <v>46</v>
      </c>
      <c r="E17" s="340">
        <v>60</v>
      </c>
      <c r="F17" s="352">
        <v>80</v>
      </c>
      <c r="G17" s="419">
        <v>3</v>
      </c>
      <c r="H17" s="340">
        <v>1</v>
      </c>
      <c r="I17" s="345">
        <v>1.3</v>
      </c>
      <c r="J17" s="342">
        <f>E17*F17*G17*H17*I17</f>
        <v>18720</v>
      </c>
      <c r="K17" s="418">
        <v>60</v>
      </c>
      <c r="L17" s="418">
        <v>72</v>
      </c>
      <c r="M17" s="418">
        <v>3</v>
      </c>
      <c r="N17" s="345">
        <v>0.95</v>
      </c>
      <c r="O17" s="345">
        <v>1.3</v>
      </c>
      <c r="P17" s="189">
        <f t="shared" ref="P17:P19" si="3">K17*L17*M17*N17*O17</f>
        <v>16005.6</v>
      </c>
    </row>
    <row r="18" spans="1:16" ht="12" customHeight="1">
      <c r="A18" s="590"/>
      <c r="B18" s="411" t="s">
        <v>263</v>
      </c>
      <c r="C18" s="345">
        <v>5</v>
      </c>
      <c r="D18" s="386" t="s">
        <v>46</v>
      </c>
      <c r="E18" s="351"/>
      <c r="F18" s="351"/>
      <c r="G18" s="351"/>
      <c r="H18" s="340">
        <v>1</v>
      </c>
      <c r="I18" s="409">
        <v>1.3</v>
      </c>
      <c r="J18" s="342">
        <f t="shared" ref="J18:J20" si="4">E18*F18*G18*H18*I18</f>
        <v>0</v>
      </c>
      <c r="K18" s="418"/>
      <c r="L18" s="418"/>
      <c r="M18" s="420"/>
      <c r="N18" s="345">
        <v>0.95</v>
      </c>
      <c r="O18" s="345">
        <v>1.3</v>
      </c>
      <c r="P18" s="189">
        <f t="shared" si="3"/>
        <v>0</v>
      </c>
    </row>
    <row r="19" spans="1:16" ht="12" customHeight="1">
      <c r="A19" s="590"/>
      <c r="B19" s="411" t="s">
        <v>224</v>
      </c>
      <c r="C19" s="345">
        <v>6</v>
      </c>
      <c r="D19" s="386" t="s">
        <v>46</v>
      </c>
      <c r="E19" s="351"/>
      <c r="F19" s="353"/>
      <c r="G19" s="421"/>
      <c r="H19" s="340">
        <v>1</v>
      </c>
      <c r="I19" s="409">
        <v>1.3</v>
      </c>
      <c r="J19" s="342">
        <f t="shared" si="4"/>
        <v>0</v>
      </c>
      <c r="K19" s="418"/>
      <c r="L19" s="418"/>
      <c r="M19" s="420"/>
      <c r="N19" s="345">
        <v>0.95</v>
      </c>
      <c r="O19" s="345">
        <v>1.3</v>
      </c>
      <c r="P19" s="189">
        <f t="shared" si="3"/>
        <v>0</v>
      </c>
    </row>
    <row r="20" spans="1:16" ht="12" customHeight="1">
      <c r="A20" s="590"/>
      <c r="B20" s="411" t="s">
        <v>223</v>
      </c>
      <c r="C20" s="345">
        <v>7</v>
      </c>
      <c r="D20" s="386" t="s">
        <v>46</v>
      </c>
      <c r="E20" s="409"/>
      <c r="F20" s="409"/>
      <c r="G20" s="351"/>
      <c r="H20" s="340">
        <v>1</v>
      </c>
      <c r="I20" s="422">
        <v>1.3</v>
      </c>
      <c r="J20" s="342">
        <f t="shared" si="4"/>
        <v>0</v>
      </c>
      <c r="K20" s="420"/>
      <c r="L20" s="420"/>
      <c r="M20" s="420"/>
      <c r="N20" s="340">
        <v>0.95</v>
      </c>
      <c r="O20" s="422">
        <v>1.3</v>
      </c>
      <c r="P20" s="189">
        <f t="shared" si="2"/>
        <v>0</v>
      </c>
    </row>
    <row r="21" spans="1:16" ht="12" customHeight="1">
      <c r="A21" s="591"/>
      <c r="B21" s="584" t="s">
        <v>36</v>
      </c>
      <c r="C21" s="584"/>
      <c r="D21" s="584"/>
      <c r="E21" s="351"/>
      <c r="F21" s="351"/>
      <c r="G21" s="351"/>
      <c r="H21" s="340"/>
      <c r="I21" s="422"/>
      <c r="J21" s="342">
        <f>SUM(J14:J20)</f>
        <v>18720</v>
      </c>
      <c r="K21" s="351"/>
      <c r="L21" s="351"/>
      <c r="M21" s="351"/>
      <c r="N21" s="345"/>
      <c r="O21" s="345"/>
      <c r="P21" s="342">
        <f>SUM(P14:P20)</f>
        <v>16005.6</v>
      </c>
    </row>
    <row r="22" spans="1:16" ht="12" customHeight="1">
      <c r="A22" s="589" t="s">
        <v>264</v>
      </c>
      <c r="B22" s="345" t="s">
        <v>265</v>
      </c>
      <c r="C22" s="345">
        <v>1</v>
      </c>
      <c r="D22" s="369" t="s">
        <v>46</v>
      </c>
      <c r="E22" s="351"/>
      <c r="F22" s="351"/>
      <c r="G22" s="351"/>
      <c r="H22" s="340">
        <v>1</v>
      </c>
      <c r="I22" s="422">
        <v>1.3</v>
      </c>
      <c r="J22" s="342">
        <f t="shared" ref="J22:J31" si="5">+E22*F22*G22*H22*I22</f>
        <v>0</v>
      </c>
      <c r="K22" s="351"/>
      <c r="L22" s="351"/>
      <c r="M22" s="351"/>
      <c r="N22" s="340">
        <v>0.95</v>
      </c>
      <c r="O22" s="422">
        <v>1.3</v>
      </c>
      <c r="P22" s="80">
        <f t="shared" ref="P22:P31" si="6">+K22*L22*M22*N22*O22</f>
        <v>0</v>
      </c>
    </row>
    <row r="23" spans="1:16" ht="12" customHeight="1">
      <c r="A23" s="589"/>
      <c r="B23" s="345" t="s">
        <v>266</v>
      </c>
      <c r="C23" s="345">
        <v>2</v>
      </c>
      <c r="D23" s="369" t="s">
        <v>46</v>
      </c>
      <c r="E23" s="351"/>
      <c r="F23" s="351"/>
      <c r="G23" s="351"/>
      <c r="H23" s="340">
        <v>1</v>
      </c>
      <c r="I23" s="422">
        <v>1.3</v>
      </c>
      <c r="J23" s="342">
        <f t="shared" si="5"/>
        <v>0</v>
      </c>
      <c r="K23" s="351"/>
      <c r="L23" s="351"/>
      <c r="M23" s="351"/>
      <c r="N23" s="340">
        <v>0.95</v>
      </c>
      <c r="O23" s="422">
        <v>1.3</v>
      </c>
      <c r="P23" s="80">
        <f t="shared" si="6"/>
        <v>0</v>
      </c>
    </row>
    <row r="24" spans="1:16" ht="12" customHeight="1">
      <c r="A24" s="589"/>
      <c r="B24" s="345" t="s">
        <v>267</v>
      </c>
      <c r="C24" s="345">
        <v>3</v>
      </c>
      <c r="D24" s="369" t="s">
        <v>46</v>
      </c>
      <c r="E24" s="351"/>
      <c r="F24" s="351"/>
      <c r="G24" s="351"/>
      <c r="H24" s="340">
        <v>1</v>
      </c>
      <c r="I24" s="422">
        <v>1.3</v>
      </c>
      <c r="J24" s="342">
        <f t="shared" si="5"/>
        <v>0</v>
      </c>
      <c r="K24" s="351"/>
      <c r="L24" s="351"/>
      <c r="M24" s="351"/>
      <c r="N24" s="340">
        <v>0.95</v>
      </c>
      <c r="O24" s="422">
        <v>1.3</v>
      </c>
      <c r="P24" s="80">
        <f t="shared" si="6"/>
        <v>0</v>
      </c>
    </row>
    <row r="25" spans="1:16" ht="12" customHeight="1">
      <c r="A25" s="589"/>
      <c r="B25" s="345" t="s">
        <v>268</v>
      </c>
      <c r="C25" s="345">
        <v>4</v>
      </c>
      <c r="D25" s="369" t="s">
        <v>46</v>
      </c>
      <c r="E25" s="351"/>
      <c r="F25" s="351"/>
      <c r="G25" s="351"/>
      <c r="H25" s="340">
        <v>1</v>
      </c>
      <c r="I25" s="422">
        <v>1.3</v>
      </c>
      <c r="J25" s="342">
        <f t="shared" si="5"/>
        <v>0</v>
      </c>
      <c r="K25" s="351"/>
      <c r="L25" s="351"/>
      <c r="M25" s="351"/>
      <c r="N25" s="340">
        <v>0.95</v>
      </c>
      <c r="O25" s="422">
        <v>1.3</v>
      </c>
      <c r="P25" s="80">
        <f t="shared" si="6"/>
        <v>0</v>
      </c>
    </row>
    <row r="26" spans="1:16" ht="12" customHeight="1">
      <c r="A26" s="589"/>
      <c r="B26" s="345" t="s">
        <v>269</v>
      </c>
      <c r="C26" s="345">
        <v>5</v>
      </c>
      <c r="D26" s="369" t="s">
        <v>46</v>
      </c>
      <c r="E26" s="351"/>
      <c r="F26" s="351"/>
      <c r="G26" s="351"/>
      <c r="H26" s="340">
        <v>1</v>
      </c>
      <c r="I26" s="422">
        <v>1.3</v>
      </c>
      <c r="J26" s="342">
        <f t="shared" si="5"/>
        <v>0</v>
      </c>
      <c r="K26" s="351"/>
      <c r="L26" s="351"/>
      <c r="M26" s="351"/>
      <c r="N26" s="340">
        <v>0.95</v>
      </c>
      <c r="O26" s="422">
        <v>1.3</v>
      </c>
      <c r="P26" s="80">
        <f t="shared" si="6"/>
        <v>0</v>
      </c>
    </row>
    <row r="27" spans="1:16" ht="12" customHeight="1">
      <c r="A27" s="589"/>
      <c r="B27" s="345" t="s">
        <v>270</v>
      </c>
      <c r="C27" s="345">
        <v>6</v>
      </c>
      <c r="D27" s="369" t="s">
        <v>46</v>
      </c>
      <c r="E27" s="351"/>
      <c r="F27" s="351"/>
      <c r="G27" s="351"/>
      <c r="H27" s="340">
        <v>1</v>
      </c>
      <c r="I27" s="422">
        <v>1.3</v>
      </c>
      <c r="J27" s="342">
        <f t="shared" si="5"/>
        <v>0</v>
      </c>
      <c r="K27" s="351"/>
      <c r="L27" s="351"/>
      <c r="M27" s="351"/>
      <c r="N27" s="340">
        <v>0.95</v>
      </c>
      <c r="O27" s="422">
        <v>1.3</v>
      </c>
      <c r="P27" s="80">
        <f t="shared" si="6"/>
        <v>0</v>
      </c>
    </row>
    <row r="28" spans="1:16" ht="12" customHeight="1">
      <c r="A28" s="589"/>
      <c r="B28" s="345" t="s">
        <v>271</v>
      </c>
      <c r="C28" s="345">
        <v>7</v>
      </c>
      <c r="D28" s="369" t="s">
        <v>46</v>
      </c>
      <c r="E28" s="351"/>
      <c r="F28" s="351"/>
      <c r="G28" s="351"/>
      <c r="H28" s="340">
        <v>1</v>
      </c>
      <c r="I28" s="422">
        <v>1.3</v>
      </c>
      <c r="J28" s="342">
        <f t="shared" si="5"/>
        <v>0</v>
      </c>
      <c r="K28" s="351"/>
      <c r="L28" s="351"/>
      <c r="M28" s="351"/>
      <c r="N28" s="340">
        <v>0.95</v>
      </c>
      <c r="O28" s="422">
        <v>1.3</v>
      </c>
      <c r="P28" s="80">
        <f t="shared" si="6"/>
        <v>0</v>
      </c>
    </row>
    <row r="29" spans="1:16" ht="12" customHeight="1">
      <c r="A29" s="589"/>
      <c r="B29" s="345" t="s">
        <v>272</v>
      </c>
      <c r="C29" s="345">
        <v>8</v>
      </c>
      <c r="D29" s="369" t="s">
        <v>46</v>
      </c>
      <c r="E29" s="351"/>
      <c r="F29" s="351"/>
      <c r="G29" s="351"/>
      <c r="H29" s="340">
        <v>1</v>
      </c>
      <c r="I29" s="422">
        <v>1.3</v>
      </c>
      <c r="J29" s="342">
        <f t="shared" si="5"/>
        <v>0</v>
      </c>
      <c r="K29" s="351"/>
      <c r="L29" s="351"/>
      <c r="M29" s="351"/>
      <c r="N29" s="340">
        <v>0.95</v>
      </c>
      <c r="O29" s="422">
        <v>1.3</v>
      </c>
      <c r="P29" s="80">
        <f t="shared" si="6"/>
        <v>0</v>
      </c>
    </row>
    <row r="30" spans="1:16" ht="12" customHeight="1">
      <c r="A30" s="589"/>
      <c r="B30" s="345" t="s">
        <v>263</v>
      </c>
      <c r="C30" s="345">
        <v>9</v>
      </c>
      <c r="D30" s="369" t="s">
        <v>46</v>
      </c>
      <c r="E30" s="351"/>
      <c r="F30" s="351"/>
      <c r="G30" s="351"/>
      <c r="H30" s="340">
        <v>1</v>
      </c>
      <c r="I30" s="422">
        <v>1.3</v>
      </c>
      <c r="J30" s="342">
        <f t="shared" ref="J30" si="7">+E30*F30*G30*H30*I30</f>
        <v>0</v>
      </c>
      <c r="K30" s="351"/>
      <c r="L30" s="351"/>
      <c r="M30" s="351"/>
      <c r="N30" s="340">
        <v>0.95</v>
      </c>
      <c r="O30" s="422">
        <v>1.3</v>
      </c>
      <c r="P30" s="80">
        <f t="shared" ref="P30" si="8">+K30*L30*M30*N30*O30</f>
        <v>0</v>
      </c>
    </row>
    <row r="31" spans="1:16" ht="12" customHeight="1">
      <c r="A31" s="589"/>
      <c r="B31" s="345" t="s">
        <v>273</v>
      </c>
      <c r="C31" s="345">
        <v>10</v>
      </c>
      <c r="D31" s="369" t="s">
        <v>46</v>
      </c>
      <c r="E31" s="351"/>
      <c r="F31" s="351"/>
      <c r="G31" s="351"/>
      <c r="H31" s="340">
        <v>1</v>
      </c>
      <c r="I31" s="422">
        <v>1.3</v>
      </c>
      <c r="J31" s="342">
        <f t="shared" si="5"/>
        <v>0</v>
      </c>
      <c r="K31" s="351"/>
      <c r="L31" s="351"/>
      <c r="M31" s="351"/>
      <c r="N31" s="340">
        <v>0.95</v>
      </c>
      <c r="O31" s="422">
        <v>1.3</v>
      </c>
      <c r="P31" s="80">
        <f t="shared" si="6"/>
        <v>0</v>
      </c>
    </row>
    <row r="32" spans="1:16" ht="12" customHeight="1">
      <c r="A32" s="589"/>
      <c r="B32" s="593" t="s">
        <v>36</v>
      </c>
      <c r="C32" s="593"/>
      <c r="D32" s="593"/>
      <c r="E32" s="351"/>
      <c r="F32" s="351"/>
      <c r="G32" s="351"/>
      <c r="H32" s="340"/>
      <c r="I32" s="422"/>
      <c r="J32" s="342">
        <f>SUM(J22:J31)</f>
        <v>0</v>
      </c>
      <c r="K32" s="351"/>
      <c r="L32" s="351"/>
      <c r="M32" s="351"/>
      <c r="N32" s="340"/>
      <c r="O32" s="422"/>
      <c r="P32" s="80">
        <f>SUM(P22:P31)</f>
        <v>0</v>
      </c>
    </row>
    <row r="33" spans="1:16" ht="12" customHeight="1">
      <c r="A33" s="589" t="s">
        <v>79</v>
      </c>
      <c r="B33" s="345" t="s">
        <v>224</v>
      </c>
      <c r="C33" s="345">
        <v>1</v>
      </c>
      <c r="D33" s="423" t="s">
        <v>46</v>
      </c>
      <c r="E33" s="351"/>
      <c r="F33" s="351"/>
      <c r="G33" s="412"/>
      <c r="H33" s="340">
        <v>1</v>
      </c>
      <c r="I33" s="422">
        <v>1.3</v>
      </c>
      <c r="J33" s="342">
        <f>E33*F33*G33*H33*I33</f>
        <v>0</v>
      </c>
      <c r="K33" s="351"/>
      <c r="L33" s="351"/>
      <c r="M33" s="351"/>
      <c r="N33" s="340">
        <v>0.95</v>
      </c>
      <c r="O33" s="422">
        <v>1.3</v>
      </c>
      <c r="P33" s="80">
        <f>+K33*L33*M33*N33*O33</f>
        <v>0</v>
      </c>
    </row>
    <row r="34" spans="1:16" ht="12" customHeight="1">
      <c r="A34" s="590"/>
      <c r="B34" s="345" t="s">
        <v>274</v>
      </c>
      <c r="C34" s="345">
        <v>2</v>
      </c>
      <c r="D34" s="423" t="s">
        <v>46</v>
      </c>
      <c r="E34" s="340"/>
      <c r="F34" s="352"/>
      <c r="G34" s="340"/>
      <c r="H34" s="340">
        <v>1</v>
      </c>
      <c r="I34" s="340">
        <v>1.3</v>
      </c>
      <c r="J34" s="268">
        <f>E34*F34*G34*H34*I34</f>
        <v>0</v>
      </c>
      <c r="K34" s="340"/>
      <c r="L34" s="352"/>
      <c r="M34" s="420"/>
      <c r="N34" s="345">
        <v>0.95</v>
      </c>
      <c r="O34" s="345">
        <v>1.3</v>
      </c>
      <c r="P34" s="80">
        <f>+K34*L34*M34*N34*O34</f>
        <v>0</v>
      </c>
    </row>
    <row r="35" spans="1:16" ht="12" customHeight="1">
      <c r="A35" s="590"/>
      <c r="B35" s="345" t="s">
        <v>275</v>
      </c>
      <c r="C35" s="345">
        <v>3</v>
      </c>
      <c r="D35" s="423" t="s">
        <v>46</v>
      </c>
      <c r="E35" s="340"/>
      <c r="F35" s="352"/>
      <c r="G35" s="340"/>
      <c r="H35" s="340">
        <v>1</v>
      </c>
      <c r="I35" s="340">
        <v>1.3</v>
      </c>
      <c r="J35" s="268">
        <f t="shared" ref="J35:J36" si="9">E35*F35*G35*H35*I35</f>
        <v>0</v>
      </c>
      <c r="K35" s="340"/>
      <c r="L35" s="352"/>
      <c r="M35" s="420"/>
      <c r="N35" s="345">
        <v>0.95</v>
      </c>
      <c r="O35" s="345">
        <v>1.3</v>
      </c>
      <c r="P35" s="189">
        <f>+K35*L35*M35*N35*O35</f>
        <v>0</v>
      </c>
    </row>
    <row r="36" spans="1:16" ht="12" customHeight="1">
      <c r="A36" s="590"/>
      <c r="B36" s="345" t="s">
        <v>224</v>
      </c>
      <c r="C36" s="345">
        <v>4</v>
      </c>
      <c r="D36" s="423" t="s">
        <v>46</v>
      </c>
      <c r="E36" s="340"/>
      <c r="F36" s="352"/>
      <c r="G36" s="340"/>
      <c r="H36" s="340">
        <v>1</v>
      </c>
      <c r="I36" s="340">
        <v>1.3</v>
      </c>
      <c r="J36" s="268">
        <f t="shared" si="9"/>
        <v>0</v>
      </c>
      <c r="K36" s="351"/>
      <c r="L36" s="351"/>
      <c r="M36" s="351"/>
      <c r="N36" s="345">
        <v>0.95</v>
      </c>
      <c r="O36" s="345">
        <v>1.3</v>
      </c>
      <c r="P36" s="189">
        <f>+K36*L36*M36*N36*O36</f>
        <v>0</v>
      </c>
    </row>
    <row r="37" spans="1:16" ht="12" customHeight="1">
      <c r="A37" s="590"/>
      <c r="B37" s="345" t="s">
        <v>223</v>
      </c>
      <c r="C37" s="345">
        <v>5</v>
      </c>
      <c r="D37" s="423" t="s">
        <v>46</v>
      </c>
      <c r="E37" s="340"/>
      <c r="F37" s="352"/>
      <c r="G37" s="340"/>
      <c r="H37" s="340">
        <v>1</v>
      </c>
      <c r="I37" s="340">
        <v>1.3</v>
      </c>
      <c r="J37" s="305">
        <f>E37*F37*G37*H37*I37</f>
        <v>0</v>
      </c>
      <c r="K37" s="351"/>
      <c r="L37" s="351"/>
      <c r="M37" s="351"/>
      <c r="N37" s="340">
        <v>0.95</v>
      </c>
      <c r="O37" s="422">
        <v>1.3</v>
      </c>
      <c r="P37" s="189">
        <f>+K37*L37*M37*N37*O37</f>
        <v>0</v>
      </c>
    </row>
    <row r="38" spans="1:16" ht="12" customHeight="1">
      <c r="A38" s="591"/>
      <c r="B38" s="584" t="s">
        <v>36</v>
      </c>
      <c r="C38" s="584"/>
      <c r="D38" s="584"/>
      <c r="E38" s="351"/>
      <c r="F38" s="351"/>
      <c r="G38" s="351"/>
      <c r="H38" s="340"/>
      <c r="I38" s="422"/>
      <c r="J38" s="346">
        <f>SUM(J33:J37)</f>
        <v>0</v>
      </c>
      <c r="K38" s="351"/>
      <c r="L38" s="351"/>
      <c r="M38" s="351"/>
      <c r="N38" s="340"/>
      <c r="O38" s="422"/>
      <c r="P38" s="80">
        <f>SUM(P33:P37)</f>
        <v>0</v>
      </c>
    </row>
    <row r="39" spans="1:16" ht="12" customHeight="1">
      <c r="A39" s="589" t="s">
        <v>223</v>
      </c>
      <c r="B39" s="340" t="s">
        <v>224</v>
      </c>
      <c r="C39" s="340">
        <v>1</v>
      </c>
      <c r="D39" s="386" t="s">
        <v>46</v>
      </c>
      <c r="E39" s="340"/>
      <c r="F39" s="361"/>
      <c r="G39" s="340"/>
      <c r="H39" s="340">
        <v>1</v>
      </c>
      <c r="I39" s="345">
        <v>1.3</v>
      </c>
      <c r="J39" s="410">
        <f t="shared" ref="J39:J40" si="10">E39*F39*G39*H39*I39</f>
        <v>0</v>
      </c>
      <c r="K39" s="351"/>
      <c r="L39" s="351"/>
      <c r="M39" s="351"/>
      <c r="N39" s="340">
        <v>0.95</v>
      </c>
      <c r="O39" s="345">
        <v>1.3</v>
      </c>
      <c r="P39" s="189">
        <f t="shared" ref="P39" si="11">+K39*L39*M39*N39*O39</f>
        <v>0</v>
      </c>
    </row>
    <row r="40" spans="1:16" ht="12" customHeight="1">
      <c r="A40" s="590"/>
      <c r="B40" s="340" t="s">
        <v>223</v>
      </c>
      <c r="C40" s="340">
        <v>2</v>
      </c>
      <c r="D40" s="386" t="s">
        <v>46</v>
      </c>
      <c r="E40" s="353"/>
      <c r="F40" s="351"/>
      <c r="G40" s="351"/>
      <c r="H40" s="340">
        <v>1</v>
      </c>
      <c r="I40" s="345">
        <v>1.3</v>
      </c>
      <c r="J40" s="410">
        <f t="shared" si="10"/>
        <v>0</v>
      </c>
      <c r="K40" s="351"/>
      <c r="L40" s="351"/>
      <c r="M40" s="351"/>
      <c r="N40" s="340">
        <v>0.95</v>
      </c>
      <c r="O40" s="345">
        <v>1.3</v>
      </c>
      <c r="P40" s="189">
        <f>+K40*L40*M40*N40*O40</f>
        <v>0</v>
      </c>
    </row>
    <row r="41" spans="1:16" ht="12" customHeight="1">
      <c r="A41" s="590"/>
      <c r="B41" s="340" t="s">
        <v>225</v>
      </c>
      <c r="C41" s="340">
        <v>3</v>
      </c>
      <c r="D41" s="386" t="s">
        <v>46</v>
      </c>
      <c r="E41" s="340"/>
      <c r="F41" s="352"/>
      <c r="G41" s="340"/>
      <c r="H41" s="340">
        <v>1</v>
      </c>
      <c r="I41" s="345">
        <v>1.3</v>
      </c>
      <c r="J41" s="410">
        <f t="shared" ref="J41" si="12">E41*F41*G41*H41*I41</f>
        <v>0</v>
      </c>
      <c r="K41" s="351"/>
      <c r="L41" s="351"/>
      <c r="M41" s="351"/>
      <c r="N41" s="340">
        <v>0.95</v>
      </c>
      <c r="O41" s="345">
        <v>1.3</v>
      </c>
      <c r="P41" s="189">
        <f>+K41*L41*M41*N41*O41</f>
        <v>0</v>
      </c>
    </row>
    <row r="42" spans="1:16" ht="12" customHeight="1">
      <c r="A42" s="590"/>
      <c r="B42" s="340" t="s">
        <v>226</v>
      </c>
      <c r="C42" s="340">
        <v>4</v>
      </c>
      <c r="D42" s="386" t="s">
        <v>46</v>
      </c>
      <c r="E42" s="340">
        <v>125</v>
      </c>
      <c r="F42" s="352">
        <v>30</v>
      </c>
      <c r="G42" s="352">
        <v>3</v>
      </c>
      <c r="H42" s="340">
        <v>1</v>
      </c>
      <c r="I42" s="345">
        <v>1.3</v>
      </c>
      <c r="J42" s="410">
        <f t="shared" ref="J42:J44" si="13">E42*F42*G42*H42*I42</f>
        <v>14625</v>
      </c>
      <c r="K42" s="340">
        <v>125</v>
      </c>
      <c r="L42" s="352">
        <v>25</v>
      </c>
      <c r="M42" s="352">
        <v>3</v>
      </c>
      <c r="N42" s="340">
        <v>0.95</v>
      </c>
      <c r="O42" s="422">
        <v>1.3</v>
      </c>
      <c r="P42" s="80">
        <f>+K42*L42*M42*N42*O42</f>
        <v>11578.125</v>
      </c>
    </row>
    <row r="43" spans="1:16" ht="12" customHeight="1">
      <c r="A43" s="590"/>
      <c r="B43" s="340" t="s">
        <v>227</v>
      </c>
      <c r="C43" s="340">
        <v>5</v>
      </c>
      <c r="D43" s="386" t="s">
        <v>46</v>
      </c>
      <c r="E43" s="340"/>
      <c r="F43" s="340"/>
      <c r="G43" s="340"/>
      <c r="H43" s="340">
        <v>1</v>
      </c>
      <c r="I43" s="345">
        <v>1.3</v>
      </c>
      <c r="J43" s="410">
        <f t="shared" si="13"/>
        <v>0</v>
      </c>
      <c r="K43" s="351"/>
      <c r="L43" s="351"/>
      <c r="M43" s="351"/>
      <c r="N43" s="340">
        <v>0.95</v>
      </c>
      <c r="O43" s="422">
        <v>1.3</v>
      </c>
      <c r="P43" s="80">
        <f>+K43*L43*M43*N43*O43</f>
        <v>0</v>
      </c>
    </row>
    <row r="44" spans="1:16" ht="12" customHeight="1">
      <c r="A44" s="590"/>
      <c r="B44" s="340" t="s">
        <v>228</v>
      </c>
      <c r="C44" s="340">
        <v>6</v>
      </c>
      <c r="D44" s="386" t="s">
        <v>46</v>
      </c>
      <c r="E44" s="340"/>
      <c r="F44" s="340"/>
      <c r="G44" s="340"/>
      <c r="H44" s="340">
        <v>1</v>
      </c>
      <c r="I44" s="345">
        <v>1.3</v>
      </c>
      <c r="J44" s="410">
        <f t="shared" si="13"/>
        <v>0</v>
      </c>
      <c r="K44" s="351"/>
      <c r="L44" s="351"/>
      <c r="M44" s="351"/>
      <c r="N44" s="340">
        <v>0.95</v>
      </c>
      <c r="O44" s="422">
        <v>1.3</v>
      </c>
      <c r="P44" s="80">
        <f>+K44*L44*M44*N44*O44</f>
        <v>0</v>
      </c>
    </row>
    <row r="45" spans="1:16" ht="12" customHeight="1">
      <c r="A45" s="590"/>
      <c r="B45" s="340" t="s">
        <v>229</v>
      </c>
      <c r="C45" s="340">
        <v>7</v>
      </c>
      <c r="D45" s="386" t="s">
        <v>46</v>
      </c>
      <c r="E45" s="340"/>
      <c r="F45" s="340"/>
      <c r="G45" s="340"/>
      <c r="H45" s="340">
        <v>1</v>
      </c>
      <c r="I45" s="422">
        <v>1.3</v>
      </c>
      <c r="J45" s="342">
        <f t="shared" ref="J45" si="14">E45*F45*G45*H45*I45</f>
        <v>0</v>
      </c>
      <c r="K45" s="351"/>
      <c r="L45" s="351"/>
      <c r="M45" s="351"/>
      <c r="N45" s="340">
        <v>0.95</v>
      </c>
      <c r="O45" s="422">
        <v>1.3</v>
      </c>
      <c r="P45" s="80">
        <f t="shared" ref="P45" si="15">+K45*L45*M45*N45*O45</f>
        <v>0</v>
      </c>
    </row>
    <row r="46" spans="1:16" ht="12" customHeight="1">
      <c r="A46" s="591"/>
      <c r="B46" s="593" t="s">
        <v>36</v>
      </c>
      <c r="C46" s="594"/>
      <c r="D46" s="595"/>
      <c r="E46" s="351"/>
      <c r="F46" s="351"/>
      <c r="G46" s="351"/>
      <c r="H46" s="340"/>
      <c r="I46" s="422"/>
      <c r="J46" s="342">
        <f>SUM(J39:J45)</f>
        <v>14625</v>
      </c>
      <c r="K46" s="307"/>
      <c r="L46" s="346"/>
      <c r="M46" s="346"/>
      <c r="N46" s="346"/>
      <c r="O46" s="346"/>
      <c r="P46" s="81">
        <f>SUM(P39:P45)</f>
        <v>11578.125</v>
      </c>
    </row>
    <row r="47" spans="1:16" ht="12" customHeight="1">
      <c r="A47" s="621" t="s">
        <v>276</v>
      </c>
      <c r="B47" s="622"/>
      <c r="C47" s="622"/>
      <c r="D47" s="647"/>
      <c r="E47" s="222"/>
      <c r="F47" s="222"/>
      <c r="G47" s="222"/>
      <c r="H47" s="222"/>
      <c r="I47" s="222"/>
      <c r="J47" s="223">
        <f>SUM(J46,J32,J38,J21)</f>
        <v>33345</v>
      </c>
      <c r="K47" s="223"/>
      <c r="L47" s="223"/>
      <c r="M47" s="223"/>
      <c r="N47" s="223"/>
      <c r="O47" s="223"/>
      <c r="P47" s="292">
        <f>SUM(P46,P32,P38,P21)</f>
        <v>27583.724999999999</v>
      </c>
    </row>
    <row r="48" spans="1:16" ht="11.25" customHeight="1">
      <c r="A48" s="605" t="s">
        <v>277</v>
      </c>
      <c r="B48" s="594"/>
      <c r="C48" s="594"/>
      <c r="D48" s="595"/>
      <c r="E48" s="401"/>
      <c r="F48" s="401"/>
      <c r="G48" s="401"/>
      <c r="H48" s="401"/>
      <c r="I48" s="401"/>
      <c r="J48" s="365"/>
      <c r="K48" s="648">
        <v>0</v>
      </c>
      <c r="L48" s="649"/>
      <c r="M48" s="649"/>
      <c r="N48" s="649"/>
      <c r="O48" s="649"/>
      <c r="P48" s="650"/>
    </row>
    <row r="49" spans="1:16" ht="12" customHeight="1">
      <c r="A49" s="618" t="s">
        <v>248</v>
      </c>
      <c r="B49" s="641" t="s">
        <v>37</v>
      </c>
      <c r="C49" s="641"/>
      <c r="D49" s="642"/>
      <c r="E49" s="234"/>
      <c r="F49" s="234"/>
      <c r="G49" s="234"/>
      <c r="H49" s="234"/>
      <c r="I49" s="234"/>
      <c r="J49" s="220">
        <f>+SUMIF($D$14:$D$45,"PH",($J$14:$J$45))</f>
        <v>0</v>
      </c>
      <c r="K49" s="233"/>
      <c r="L49" s="233"/>
      <c r="M49" s="233"/>
      <c r="N49" s="233"/>
      <c r="O49" s="233"/>
      <c r="P49" s="235">
        <f>+SUMIF($D$14:$D$45,"PH",($P$14:$P$45))</f>
        <v>0</v>
      </c>
    </row>
    <row r="50" spans="1:16" ht="12" customHeight="1">
      <c r="A50" s="619"/>
      <c r="B50" s="643" t="s">
        <v>40</v>
      </c>
      <c r="C50" s="643"/>
      <c r="D50" s="644"/>
      <c r="E50" s="234"/>
      <c r="F50" s="234"/>
      <c r="G50" s="234"/>
      <c r="H50" s="234"/>
      <c r="I50" s="234"/>
      <c r="J50" s="220">
        <f>+SUMIF($D$14:$D$45,"PL",($J$14:$J$45))</f>
        <v>0</v>
      </c>
      <c r="K50" s="233"/>
      <c r="L50" s="233"/>
      <c r="M50" s="233"/>
      <c r="N50" s="233"/>
      <c r="O50" s="233"/>
      <c r="P50" s="235">
        <f>+SUMIF($D$14:$D$45,"PL",($P$14:$P$45))</f>
        <v>0</v>
      </c>
    </row>
    <row r="51" spans="1:16" ht="12" customHeight="1">
      <c r="A51" s="619"/>
      <c r="B51" s="629" t="s">
        <v>41</v>
      </c>
      <c r="C51" s="629"/>
      <c r="D51" s="630"/>
      <c r="E51" s="234"/>
      <c r="F51" s="234"/>
      <c r="G51" s="234"/>
      <c r="H51" s="234"/>
      <c r="I51" s="234"/>
      <c r="J51" s="220">
        <f>+SUMIF($D$14:$D$45,"MH",($J$14:$J$45))</f>
        <v>0</v>
      </c>
      <c r="K51" s="233"/>
      <c r="L51" s="233"/>
      <c r="M51" s="233"/>
      <c r="N51" s="233"/>
      <c r="O51" s="233"/>
      <c r="P51" s="235">
        <f>+SUMIF($D$14:$D$45,"mH",($P$14:$P$45))</f>
        <v>0</v>
      </c>
    </row>
    <row r="52" spans="1:16" ht="12" customHeight="1">
      <c r="A52" s="619"/>
      <c r="B52" s="594" t="s">
        <v>44</v>
      </c>
      <c r="C52" s="594"/>
      <c r="D52" s="595"/>
      <c r="E52" s="234"/>
      <c r="F52" s="234"/>
      <c r="G52" s="234"/>
      <c r="H52" s="234"/>
      <c r="I52" s="234"/>
      <c r="J52" s="220">
        <f>+SUMIF($D$14:$D$45,"ML",($J$14:$J$45))</f>
        <v>0</v>
      </c>
      <c r="K52" s="233"/>
      <c r="L52" s="233"/>
      <c r="M52" s="233"/>
      <c r="N52" s="233"/>
      <c r="O52" s="233"/>
      <c r="P52" s="235">
        <f>+SUMIF($D$14:$D$45,"ml",($P$14:$P$45))</f>
        <v>0</v>
      </c>
    </row>
    <row r="53" spans="1:16" ht="12" customHeight="1">
      <c r="A53" s="619"/>
      <c r="B53" s="616" t="s">
        <v>46</v>
      </c>
      <c r="C53" s="616"/>
      <c r="D53" s="617"/>
      <c r="E53" s="402"/>
      <c r="F53" s="402"/>
      <c r="G53" s="402"/>
      <c r="H53" s="402"/>
      <c r="I53" s="402"/>
      <c r="J53" s="403">
        <f>+SUMIF($D$14:$D$45,"SM",($J$14:$J$45))</f>
        <v>33345</v>
      </c>
      <c r="K53" s="404"/>
      <c r="L53" s="404"/>
      <c r="M53" s="404"/>
      <c r="N53" s="404"/>
      <c r="O53" s="404"/>
      <c r="P53" s="219">
        <f>+SUMIF($D$14:$D$45,"sm",($P$14:$P$45))</f>
        <v>27583.724999999999</v>
      </c>
    </row>
    <row r="54" spans="1:16" ht="12" customHeight="1" thickBot="1">
      <c r="A54" s="620"/>
      <c r="B54" s="645" t="s">
        <v>48</v>
      </c>
      <c r="C54" s="645"/>
      <c r="D54" s="646"/>
      <c r="E54" s="179"/>
      <c r="F54" s="180"/>
      <c r="G54" s="180"/>
      <c r="H54" s="180"/>
      <c r="I54" s="180"/>
      <c r="J54" s="181">
        <f>SUM(J49:J53)</f>
        <v>33345</v>
      </c>
      <c r="K54" s="182"/>
      <c r="L54" s="182"/>
      <c r="M54" s="182"/>
      <c r="N54" s="182"/>
      <c r="O54" s="182"/>
      <c r="P54" s="183">
        <f>SUM(P49:P53)</f>
        <v>27583.724999999999</v>
      </c>
    </row>
    <row r="55" spans="1:16" ht="15" customHeight="1" thickBot="1">
      <c r="A55" s="576" t="s">
        <v>278</v>
      </c>
      <c r="B55" s="577"/>
      <c r="C55" s="577"/>
      <c r="D55" s="577"/>
      <c r="E55" s="577"/>
      <c r="F55" s="577"/>
      <c r="G55" s="577"/>
      <c r="H55" s="577"/>
      <c r="I55" s="577"/>
      <c r="J55" s="577"/>
      <c r="K55" s="577"/>
      <c r="L55" s="577"/>
      <c r="M55" s="577"/>
      <c r="N55" s="577"/>
      <c r="O55" s="577"/>
      <c r="P55" s="578"/>
    </row>
    <row r="56" spans="1:16" ht="15" customHeight="1">
      <c r="A56" s="71"/>
      <c r="B56" s="72"/>
      <c r="C56" s="72"/>
      <c r="D56" s="72"/>
      <c r="E56" s="72"/>
      <c r="F56" s="72"/>
      <c r="G56" s="72"/>
      <c r="H56" s="72"/>
      <c r="I56" s="72"/>
      <c r="J56" s="72"/>
      <c r="K56" s="72"/>
      <c r="L56" s="72"/>
      <c r="M56" s="72"/>
      <c r="N56" s="72"/>
      <c r="O56" s="72"/>
      <c r="P56" s="73"/>
    </row>
    <row r="57" spans="1:16" ht="15" customHeight="1">
      <c r="A57" s="67"/>
      <c r="P57" s="68"/>
    </row>
    <row r="58" spans="1:16" ht="15" customHeight="1">
      <c r="A58" s="67"/>
      <c r="P58" s="68"/>
    </row>
    <row r="59" spans="1:16" ht="15" customHeight="1">
      <c r="A59" s="67"/>
      <c r="P59" s="68"/>
    </row>
    <row r="60" spans="1:16" ht="15" customHeight="1">
      <c r="A60" s="67"/>
      <c r="P60" s="68"/>
    </row>
    <row r="61" spans="1:16" ht="15" customHeight="1">
      <c r="A61" s="67"/>
      <c r="P61" s="68"/>
    </row>
    <row r="62" spans="1:16" ht="15" customHeight="1">
      <c r="A62" s="67"/>
      <c r="P62" s="68"/>
    </row>
    <row r="63" spans="1:16" ht="15" customHeight="1">
      <c r="A63" s="67"/>
      <c r="P63" s="68"/>
    </row>
    <row r="64" spans="1:16" ht="15" customHeight="1">
      <c r="A64" s="67"/>
      <c r="P64" s="68"/>
    </row>
    <row r="65" spans="1:16" ht="15" customHeight="1">
      <c r="A65" s="67"/>
      <c r="P65" s="68"/>
    </row>
    <row r="66" spans="1:16" ht="15" customHeight="1">
      <c r="A66" s="67"/>
      <c r="P66" s="68"/>
    </row>
    <row r="67" spans="1:16" ht="15" customHeight="1">
      <c r="A67" s="67"/>
      <c r="P67" s="68"/>
    </row>
    <row r="68" spans="1:16" ht="15" customHeight="1">
      <c r="A68" s="67"/>
      <c r="P68" s="68"/>
    </row>
    <row r="69" spans="1:16" ht="15" customHeight="1">
      <c r="A69" s="67"/>
      <c r="P69" s="68"/>
    </row>
    <row r="70" spans="1:16" ht="15" customHeight="1">
      <c r="A70" s="67"/>
      <c r="P70" s="68"/>
    </row>
    <row r="71" spans="1:16" ht="15" customHeight="1">
      <c r="A71" s="67"/>
      <c r="P71" s="68"/>
    </row>
    <row r="72" spans="1:16" ht="15" customHeight="1">
      <c r="A72" s="67"/>
      <c r="P72" s="68"/>
    </row>
    <row r="73" spans="1:16" ht="15" customHeight="1">
      <c r="A73" s="67"/>
      <c r="P73" s="68"/>
    </row>
    <row r="74" spans="1:16" ht="15" customHeight="1">
      <c r="A74" s="67"/>
      <c r="P74" s="68"/>
    </row>
    <row r="75" spans="1:16" ht="15" customHeight="1">
      <c r="A75" s="67"/>
      <c r="P75" s="68"/>
    </row>
    <row r="76" spans="1:16" ht="15" customHeight="1">
      <c r="A76" s="67"/>
      <c r="P76" s="68"/>
    </row>
    <row r="77" spans="1:16" ht="15" customHeight="1">
      <c r="A77" s="67"/>
      <c r="P77" s="68"/>
    </row>
    <row r="78" spans="1:16" ht="15" customHeight="1">
      <c r="A78" s="67"/>
      <c r="P78" s="68"/>
    </row>
    <row r="79" spans="1:16" ht="15" customHeight="1">
      <c r="A79" s="67"/>
      <c r="P79" s="68"/>
    </row>
    <row r="80" spans="1:16" ht="15" customHeight="1" thickBot="1">
      <c r="A80" s="74"/>
      <c r="B80" s="75"/>
      <c r="C80" s="75"/>
      <c r="D80" s="75"/>
      <c r="E80" s="75"/>
      <c r="F80" s="75"/>
      <c r="G80" s="75"/>
      <c r="H80" s="75"/>
      <c r="I80" s="75"/>
      <c r="J80" s="75"/>
      <c r="K80" s="75"/>
      <c r="L80" s="75"/>
      <c r="M80" s="75"/>
      <c r="N80" s="75"/>
      <c r="O80" s="75"/>
      <c r="P80" s="76"/>
    </row>
  </sheetData>
  <mergeCells count="46">
    <mergeCell ref="A48:D48"/>
    <mergeCell ref="K48:P48"/>
    <mergeCell ref="A22:A32"/>
    <mergeCell ref="A14:A21"/>
    <mergeCell ref="B21:D21"/>
    <mergeCell ref="B4:F4"/>
    <mergeCell ref="G4:I4"/>
    <mergeCell ref="J4:L4"/>
    <mergeCell ref="M4:P4"/>
    <mergeCell ref="B5:F5"/>
    <mergeCell ref="G5:I5"/>
    <mergeCell ref="J5:L5"/>
    <mergeCell ref="M5:P5"/>
    <mergeCell ref="A1:P1"/>
    <mergeCell ref="A2:P2"/>
    <mergeCell ref="B3:D3"/>
    <mergeCell ref="E3:G3"/>
    <mergeCell ref="H3:J3"/>
    <mergeCell ref="K3:M3"/>
    <mergeCell ref="N3:P3"/>
    <mergeCell ref="K12:P12"/>
    <mergeCell ref="E12:J12"/>
    <mergeCell ref="B12:D12"/>
    <mergeCell ref="B8:E8"/>
    <mergeCell ref="B9:F9"/>
    <mergeCell ref="K6:M6"/>
    <mergeCell ref="N6:P6"/>
    <mergeCell ref="H6:J6"/>
    <mergeCell ref="E6:G6"/>
    <mergeCell ref="B6:D6"/>
    <mergeCell ref="A55:P55"/>
    <mergeCell ref="A49:A54"/>
    <mergeCell ref="B49:D49"/>
    <mergeCell ref="B50:D50"/>
    <mergeCell ref="B10:E10"/>
    <mergeCell ref="B51:D51"/>
    <mergeCell ref="B52:D52"/>
    <mergeCell ref="B53:D53"/>
    <mergeCell ref="B54:D54"/>
    <mergeCell ref="A12:A13"/>
    <mergeCell ref="A47:D47"/>
    <mergeCell ref="A39:A46"/>
    <mergeCell ref="B46:D46"/>
    <mergeCell ref="A33:A38"/>
    <mergeCell ref="B38:D38"/>
    <mergeCell ref="B32:D32"/>
  </mergeCells>
  <phoneticPr fontId="88" type="noConversion"/>
  <pageMargins left="0.5" right="0.5" top="0.5" bottom="0.5" header="0.3" footer="0.3"/>
  <pageSetup paperSize="9" scale="87" fitToHeight="0" orientation="portrait" horizontalDpi="300" verticalDpi="300" r:id="rId1"/>
  <headerFooter>
    <oddHeader>&amp;RNo. Form : FM/CH-018 (Lampiran)</oddHeader>
    <oddFooter>&amp;L&amp;F &amp;A&amp;RReported by Pit Control Section          Page &amp;P of &amp;N</oddFooter>
  </headerFooter>
  <ignoredErrors>
    <ignoredError sqref="J32:J33 N32:P32 J37:J43 N38:P38 P34:P36 O33:P33 O37:P37 O39:P43 J45 O45:P45" formula="1"/>
  </ignoredError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P169"/>
  <sheetViews>
    <sheetView showGridLines="0" view="pageBreakPreview" zoomScaleNormal="100" zoomScaleSheetLayoutView="100" workbookViewId="0">
      <pane ySplit="13" topLeftCell="A14" activePane="bottomLeft" state="frozen"/>
      <selection activeCell="R52" sqref="R52"/>
      <selection pane="bottomLeft" sqref="A1:P1"/>
    </sheetView>
  </sheetViews>
  <sheetFormatPr defaultColWidth="8.88671875" defaultRowHeight="15" customHeight="1"/>
  <cols>
    <col min="1" max="1" width="11.77734375" style="28" customWidth="1"/>
    <col min="2" max="2" width="11.88671875" style="28" bestFit="1" customWidth="1"/>
    <col min="3" max="3" width="4.77734375" style="28" customWidth="1"/>
    <col min="4" max="4" width="6.33203125" style="28" bestFit="1" customWidth="1"/>
    <col min="5" max="5" width="5.21875" style="28" customWidth="1"/>
    <col min="6" max="9" width="4.77734375" style="28" customWidth="1"/>
    <col min="10" max="10" width="7.77734375" style="28" customWidth="1"/>
    <col min="11" max="15" width="4.77734375" style="28" customWidth="1"/>
    <col min="16" max="16" width="7.77734375" style="28" customWidth="1"/>
    <col min="17" max="16384" width="8.88671875" style="28"/>
  </cols>
  <sheetData>
    <row r="1" spans="1:16" ht="18">
      <c r="A1" s="596" t="s">
        <v>279</v>
      </c>
      <c r="B1" s="597"/>
      <c r="C1" s="597"/>
      <c r="D1" s="597"/>
      <c r="E1" s="597"/>
      <c r="F1" s="597"/>
      <c r="G1" s="597"/>
      <c r="H1" s="597"/>
      <c r="I1" s="597"/>
      <c r="J1" s="597"/>
      <c r="K1" s="597"/>
      <c r="L1" s="597"/>
      <c r="M1" s="597"/>
      <c r="N1" s="597"/>
      <c r="O1" s="597"/>
      <c r="P1" s="598"/>
    </row>
    <row r="2" spans="1:16" ht="15" customHeight="1">
      <c r="A2" s="599" t="s">
        <v>92</v>
      </c>
      <c r="B2" s="600"/>
      <c r="C2" s="600"/>
      <c r="D2" s="600"/>
      <c r="E2" s="600"/>
      <c r="F2" s="600"/>
      <c r="G2" s="600"/>
      <c r="H2" s="600"/>
      <c r="I2" s="600"/>
      <c r="J2" s="600"/>
      <c r="K2" s="600"/>
      <c r="L2" s="600"/>
      <c r="M2" s="600"/>
      <c r="N2" s="600"/>
      <c r="O2" s="600"/>
      <c r="P2" s="601"/>
    </row>
    <row r="3" spans="1:16" ht="15" customHeight="1">
      <c r="A3" s="66" t="s">
        <v>93</v>
      </c>
      <c r="B3" s="579" t="s">
        <v>94</v>
      </c>
      <c r="C3" s="580"/>
      <c r="D3" s="581"/>
      <c r="E3" s="579" t="s">
        <v>95</v>
      </c>
      <c r="F3" s="580"/>
      <c r="G3" s="581"/>
      <c r="H3" s="602" t="s">
        <v>96</v>
      </c>
      <c r="I3" s="603"/>
      <c r="J3" s="604"/>
      <c r="K3" s="579" t="s">
        <v>97</v>
      </c>
      <c r="L3" s="580"/>
      <c r="M3" s="581"/>
      <c r="N3" s="579" t="s">
        <v>98</v>
      </c>
      <c r="O3" s="580"/>
      <c r="P3" s="582"/>
    </row>
    <row r="4" spans="1:16" ht="15" customHeight="1">
      <c r="A4" s="66" t="s">
        <v>99</v>
      </c>
      <c r="B4" s="502" t="s">
        <v>100</v>
      </c>
      <c r="C4" s="502"/>
      <c r="D4" s="502"/>
      <c r="E4" s="502"/>
      <c r="F4" s="502"/>
      <c r="G4" s="631" t="s">
        <v>101</v>
      </c>
      <c r="H4" s="631"/>
      <c r="I4" s="631"/>
      <c r="J4" s="502" t="s">
        <v>102</v>
      </c>
      <c r="K4" s="502"/>
      <c r="L4" s="502"/>
      <c r="M4" s="502" t="s">
        <v>103</v>
      </c>
      <c r="N4" s="502"/>
      <c r="O4" s="502"/>
      <c r="P4" s="502"/>
    </row>
    <row r="5" spans="1:16" ht="15" customHeight="1">
      <c r="A5" s="66" t="s">
        <v>104</v>
      </c>
      <c r="B5" s="482" t="s">
        <v>83</v>
      </c>
      <c r="C5" s="482"/>
      <c r="D5" s="482"/>
      <c r="E5" s="482"/>
      <c r="F5" s="482"/>
      <c r="G5" s="632" t="s">
        <v>105</v>
      </c>
      <c r="H5" s="632"/>
      <c r="I5" s="632"/>
      <c r="J5" s="482" t="s">
        <v>86</v>
      </c>
      <c r="K5" s="482"/>
      <c r="L5" s="482"/>
      <c r="M5" s="482" t="s">
        <v>70</v>
      </c>
      <c r="N5" s="482"/>
      <c r="O5" s="482"/>
      <c r="P5" s="482"/>
    </row>
    <row r="6" spans="1:16" ht="15" customHeight="1">
      <c r="A6" s="66" t="s">
        <v>106</v>
      </c>
      <c r="B6" s="579" t="s">
        <v>107</v>
      </c>
      <c r="C6" s="580"/>
      <c r="D6" s="581"/>
      <c r="E6" s="602" t="s">
        <v>108</v>
      </c>
      <c r="F6" s="603"/>
      <c r="G6" s="604"/>
      <c r="H6" s="579" t="s">
        <v>109</v>
      </c>
      <c r="I6" s="580"/>
      <c r="J6" s="581"/>
      <c r="K6" s="579" t="s">
        <v>110</v>
      </c>
      <c r="L6" s="580"/>
      <c r="M6" s="581"/>
      <c r="N6" s="579" t="s">
        <v>111</v>
      </c>
      <c r="O6" s="580"/>
      <c r="P6" s="582"/>
    </row>
    <row r="7" spans="1:16" ht="5.0999999999999996" customHeight="1">
      <c r="A7" s="67"/>
      <c r="P7" s="68"/>
    </row>
    <row r="8" spans="1:16" ht="15" customHeight="1">
      <c r="A8" s="69" t="s">
        <v>112</v>
      </c>
      <c r="B8" s="588" t="s">
        <v>113</v>
      </c>
      <c r="C8" s="588"/>
      <c r="D8" s="588"/>
      <c r="E8" s="588"/>
      <c r="F8" s="29"/>
      <c r="G8" s="29"/>
      <c r="H8" s="29"/>
      <c r="I8" s="29"/>
      <c r="P8" s="68"/>
    </row>
    <row r="9" spans="1:16" ht="15" customHeight="1">
      <c r="A9" s="69" t="s">
        <v>16</v>
      </c>
      <c r="B9" s="592">
        <f>Cover!A13-1</f>
        <v>45081</v>
      </c>
      <c r="C9" s="592"/>
      <c r="D9" s="592"/>
      <c r="E9" s="592"/>
      <c r="F9" s="592"/>
      <c r="G9" s="82"/>
      <c r="H9" s="82"/>
      <c r="I9" s="82"/>
      <c r="P9" s="68"/>
    </row>
    <row r="10" spans="1:16" ht="15" customHeight="1">
      <c r="A10" s="69" t="s">
        <v>114</v>
      </c>
      <c r="B10" s="588" t="s">
        <v>280</v>
      </c>
      <c r="C10" s="588"/>
      <c r="D10" s="588"/>
      <c r="E10" s="588"/>
      <c r="F10" s="29"/>
      <c r="G10" s="29"/>
      <c r="H10" s="29"/>
      <c r="I10" s="29"/>
      <c r="P10" s="68"/>
    </row>
    <row r="11" spans="1:16" ht="5.0999999999999996" customHeight="1">
      <c r="A11" s="67"/>
      <c r="P11" s="68"/>
    </row>
    <row r="12" spans="1:16" ht="12" customHeight="1">
      <c r="A12" s="606" t="s">
        <v>116</v>
      </c>
      <c r="B12" s="593" t="s">
        <v>117</v>
      </c>
      <c r="C12" s="594"/>
      <c r="D12" s="595"/>
      <c r="E12" s="593" t="s">
        <v>26</v>
      </c>
      <c r="F12" s="594"/>
      <c r="G12" s="594"/>
      <c r="H12" s="594"/>
      <c r="I12" s="594"/>
      <c r="J12" s="595"/>
      <c r="K12" s="593" t="s">
        <v>27</v>
      </c>
      <c r="L12" s="594"/>
      <c r="M12" s="594"/>
      <c r="N12" s="594"/>
      <c r="O12" s="594"/>
      <c r="P12" s="607"/>
    </row>
    <row r="13" spans="1:16" ht="12" customHeight="1">
      <c r="A13" s="606"/>
      <c r="B13" s="339" t="s">
        <v>118</v>
      </c>
      <c r="C13" s="339" t="s">
        <v>119</v>
      </c>
      <c r="D13" s="339" t="s">
        <v>120</v>
      </c>
      <c r="E13" s="339" t="s">
        <v>121</v>
      </c>
      <c r="F13" s="339" t="s">
        <v>122</v>
      </c>
      <c r="G13" s="339" t="s">
        <v>123</v>
      </c>
      <c r="H13" s="339" t="s">
        <v>124</v>
      </c>
      <c r="I13" s="339" t="s">
        <v>125</v>
      </c>
      <c r="J13" s="339" t="s">
        <v>126</v>
      </c>
      <c r="K13" s="339" t="s">
        <v>121</v>
      </c>
      <c r="L13" s="339" t="s">
        <v>122</v>
      </c>
      <c r="M13" s="339" t="s">
        <v>123</v>
      </c>
      <c r="N13" s="339" t="s">
        <v>124</v>
      </c>
      <c r="O13" s="339" t="s">
        <v>125</v>
      </c>
      <c r="P13" s="70" t="s">
        <v>126</v>
      </c>
    </row>
    <row r="14" spans="1:16" ht="12" hidden="1" customHeight="1">
      <c r="A14" s="589" t="s">
        <v>79</v>
      </c>
      <c r="B14" s="340" t="s">
        <v>281</v>
      </c>
      <c r="C14" s="364">
        <v>1</v>
      </c>
      <c r="D14" s="369" t="s">
        <v>46</v>
      </c>
      <c r="E14" s="352"/>
      <c r="F14" s="361"/>
      <c r="G14" s="361"/>
      <c r="H14" s="340">
        <v>1</v>
      </c>
      <c r="I14" s="340">
        <v>1.3</v>
      </c>
      <c r="J14" s="347">
        <f t="shared" ref="J14:J23" si="0">+E14*F14*G14*H14*I14</f>
        <v>0</v>
      </c>
      <c r="K14" s="352"/>
      <c r="L14" s="352"/>
      <c r="M14" s="352"/>
      <c r="N14" s="340">
        <v>0.95</v>
      </c>
      <c r="O14" s="340">
        <v>1.3</v>
      </c>
      <c r="P14" s="188">
        <f t="shared" ref="P14:P23" si="1">+K14*L14*M14*N14*O14</f>
        <v>0</v>
      </c>
    </row>
    <row r="15" spans="1:16" ht="12" hidden="1" customHeight="1">
      <c r="A15" s="590"/>
      <c r="B15" s="340" t="s">
        <v>282</v>
      </c>
      <c r="C15" s="364">
        <v>2</v>
      </c>
      <c r="D15" s="369" t="s">
        <v>46</v>
      </c>
      <c r="E15" s="352"/>
      <c r="F15" s="361"/>
      <c r="G15" s="361"/>
      <c r="H15" s="340">
        <v>1</v>
      </c>
      <c r="I15" s="340">
        <v>1.3</v>
      </c>
      <c r="J15" s="347">
        <f t="shared" si="0"/>
        <v>0</v>
      </c>
      <c r="K15" s="352"/>
      <c r="L15" s="352"/>
      <c r="M15" s="352"/>
      <c r="N15" s="340">
        <v>0.95</v>
      </c>
      <c r="O15" s="340">
        <v>1.3</v>
      </c>
      <c r="P15" s="188">
        <f t="shared" si="1"/>
        <v>0</v>
      </c>
    </row>
    <row r="16" spans="1:16" ht="12" hidden="1" customHeight="1">
      <c r="A16" s="590"/>
      <c r="B16" s="340" t="s">
        <v>283</v>
      </c>
      <c r="C16" s="364">
        <v>3</v>
      </c>
      <c r="D16" s="369" t="s">
        <v>46</v>
      </c>
      <c r="E16" s="424"/>
      <c r="F16" s="424"/>
      <c r="G16" s="425"/>
      <c r="H16" s="340">
        <v>1</v>
      </c>
      <c r="I16" s="340">
        <v>1.3</v>
      </c>
      <c r="J16" s="346">
        <f t="shared" si="0"/>
        <v>0</v>
      </c>
      <c r="K16" s="352"/>
      <c r="L16" s="352"/>
      <c r="M16" s="352"/>
      <c r="N16" s="340">
        <v>0.95</v>
      </c>
      <c r="O16" s="340">
        <v>1.3</v>
      </c>
      <c r="P16" s="81">
        <f t="shared" si="1"/>
        <v>0</v>
      </c>
    </row>
    <row r="17" spans="1:16" ht="12" hidden="1" customHeight="1">
      <c r="A17" s="590"/>
      <c r="B17" s="340" t="s">
        <v>284</v>
      </c>
      <c r="C17" s="364">
        <v>4</v>
      </c>
      <c r="D17" s="369" t="s">
        <v>46</v>
      </c>
      <c r="E17" s="424"/>
      <c r="F17" s="424"/>
      <c r="G17" s="424"/>
      <c r="H17" s="340">
        <v>1</v>
      </c>
      <c r="I17" s="340">
        <v>1.3</v>
      </c>
      <c r="J17" s="347">
        <f t="shared" si="0"/>
        <v>0</v>
      </c>
      <c r="K17" s="352"/>
      <c r="L17" s="352"/>
      <c r="M17" s="352"/>
      <c r="N17" s="340">
        <v>0.95</v>
      </c>
      <c r="O17" s="340">
        <v>1.3</v>
      </c>
      <c r="P17" s="188">
        <f t="shared" si="1"/>
        <v>0</v>
      </c>
    </row>
    <row r="18" spans="1:16" ht="12" hidden="1" customHeight="1">
      <c r="A18" s="590"/>
      <c r="B18" s="340" t="s">
        <v>285</v>
      </c>
      <c r="C18" s="364">
        <v>5</v>
      </c>
      <c r="D18" s="369" t="s">
        <v>46</v>
      </c>
      <c r="E18" s="424"/>
      <c r="F18" s="424"/>
      <c r="G18" s="424"/>
      <c r="H18" s="340">
        <v>1</v>
      </c>
      <c r="I18" s="340">
        <v>1.3</v>
      </c>
      <c r="J18" s="346">
        <f t="shared" si="0"/>
        <v>0</v>
      </c>
      <c r="K18" s="424"/>
      <c r="L18" s="424"/>
      <c r="M18" s="424"/>
      <c r="N18" s="340">
        <v>0.95</v>
      </c>
      <c r="O18" s="340">
        <v>1.3</v>
      </c>
      <c r="P18" s="81">
        <f t="shared" si="1"/>
        <v>0</v>
      </c>
    </row>
    <row r="19" spans="1:16" ht="12" hidden="1" customHeight="1">
      <c r="A19" s="590"/>
      <c r="B19" s="340" t="s">
        <v>286</v>
      </c>
      <c r="C19" s="364">
        <v>6</v>
      </c>
      <c r="D19" s="369" t="s">
        <v>46</v>
      </c>
      <c r="E19" s="424"/>
      <c r="F19" s="424"/>
      <c r="G19" s="424"/>
      <c r="H19" s="340">
        <v>1</v>
      </c>
      <c r="I19" s="340">
        <v>1.3</v>
      </c>
      <c r="J19" s="346">
        <f t="shared" si="0"/>
        <v>0</v>
      </c>
      <c r="K19" s="424"/>
      <c r="L19" s="424"/>
      <c r="M19" s="424"/>
      <c r="N19" s="340">
        <v>0.95</v>
      </c>
      <c r="O19" s="340">
        <v>1.3</v>
      </c>
      <c r="P19" s="81">
        <f t="shared" si="1"/>
        <v>0</v>
      </c>
    </row>
    <row r="20" spans="1:16" ht="12" hidden="1" customHeight="1">
      <c r="A20" s="590"/>
      <c r="B20" s="340"/>
      <c r="C20" s="340">
        <v>7</v>
      </c>
      <c r="D20" s="340" t="s">
        <v>46</v>
      </c>
      <c r="E20" s="352"/>
      <c r="F20" s="361"/>
      <c r="G20" s="357"/>
      <c r="H20" s="340">
        <v>1</v>
      </c>
      <c r="I20" s="340">
        <v>1.3</v>
      </c>
      <c r="J20" s="346">
        <f t="shared" si="0"/>
        <v>0</v>
      </c>
      <c r="K20" s="352"/>
      <c r="L20" s="361"/>
      <c r="M20" s="361"/>
      <c r="N20" s="340">
        <v>0.95499999999999996</v>
      </c>
      <c r="O20" s="340">
        <v>1.3</v>
      </c>
      <c r="P20" s="81">
        <f t="shared" si="1"/>
        <v>0</v>
      </c>
    </row>
    <row r="21" spans="1:16" ht="12" hidden="1" customHeight="1">
      <c r="A21" s="590"/>
      <c r="B21" s="340"/>
      <c r="C21" s="340">
        <v>8</v>
      </c>
      <c r="D21" s="340" t="s">
        <v>46</v>
      </c>
      <c r="E21" s="426"/>
      <c r="F21" s="426"/>
      <c r="G21" s="426"/>
      <c r="H21" s="340">
        <v>1</v>
      </c>
      <c r="I21" s="340">
        <v>1.3</v>
      </c>
      <c r="J21" s="342">
        <f t="shared" si="0"/>
        <v>0</v>
      </c>
      <c r="K21" s="352"/>
      <c r="L21" s="361"/>
      <c r="M21" s="361"/>
      <c r="N21" s="340">
        <v>0.95499999999999996</v>
      </c>
      <c r="O21" s="340">
        <v>1.3</v>
      </c>
      <c r="P21" s="81">
        <f t="shared" si="1"/>
        <v>0</v>
      </c>
    </row>
    <row r="22" spans="1:16" ht="12" hidden="1" customHeight="1">
      <c r="A22" s="590"/>
      <c r="B22" s="340"/>
      <c r="C22" s="340">
        <v>9</v>
      </c>
      <c r="D22" s="340" t="s">
        <v>46</v>
      </c>
      <c r="E22" s="426"/>
      <c r="F22" s="426"/>
      <c r="G22" s="426"/>
      <c r="H22" s="340">
        <v>1</v>
      </c>
      <c r="I22" s="340">
        <v>1.3</v>
      </c>
      <c r="J22" s="342">
        <f t="shared" si="0"/>
        <v>0</v>
      </c>
      <c r="K22" s="352"/>
      <c r="L22" s="361"/>
      <c r="M22" s="361"/>
      <c r="N22" s="340">
        <v>0.95499999999999996</v>
      </c>
      <c r="O22" s="340">
        <v>1.3</v>
      </c>
      <c r="P22" s="81">
        <f t="shared" si="1"/>
        <v>0</v>
      </c>
    </row>
    <row r="23" spans="1:16" ht="12" hidden="1" customHeight="1">
      <c r="A23" s="590"/>
      <c r="B23" s="311"/>
      <c r="C23" s="340">
        <v>10</v>
      </c>
      <c r="D23" s="340" t="s">
        <v>46</v>
      </c>
      <c r="E23" s="312"/>
      <c r="F23" s="313"/>
      <c r="G23" s="314"/>
      <c r="H23" s="340">
        <v>1</v>
      </c>
      <c r="I23" s="340">
        <v>1.3</v>
      </c>
      <c r="J23" s="342">
        <f t="shared" si="0"/>
        <v>0</v>
      </c>
      <c r="K23" s="352"/>
      <c r="L23" s="361"/>
      <c r="M23" s="361"/>
      <c r="N23" s="340">
        <v>0.95499999999999996</v>
      </c>
      <c r="O23" s="340">
        <v>1.3</v>
      </c>
      <c r="P23" s="81">
        <f t="shared" si="1"/>
        <v>0</v>
      </c>
    </row>
    <row r="24" spans="1:16" ht="12" hidden="1" customHeight="1">
      <c r="A24" s="591"/>
      <c r="B24" s="593" t="s">
        <v>36</v>
      </c>
      <c r="C24" s="594"/>
      <c r="D24" s="595"/>
      <c r="E24" s="361"/>
      <c r="F24" s="352"/>
      <c r="G24" s="397"/>
      <c r="H24" s="397"/>
      <c r="I24" s="397"/>
      <c r="J24" s="346">
        <f>SUM(J14:J23)</f>
        <v>0</v>
      </c>
      <c r="K24" s="398"/>
      <c r="L24" s="398"/>
      <c r="M24" s="399"/>
      <c r="N24" s="315"/>
      <c r="O24" s="315"/>
      <c r="P24" s="224">
        <f>SUM(P14:P23)</f>
        <v>0</v>
      </c>
    </row>
    <row r="25" spans="1:16" ht="12" customHeight="1">
      <c r="A25" s="589" t="s">
        <v>287</v>
      </c>
      <c r="B25" s="427" t="s">
        <v>288</v>
      </c>
      <c r="C25" s="340">
        <v>1</v>
      </c>
      <c r="D25" s="369" t="s">
        <v>46</v>
      </c>
      <c r="E25" s="428">
        <v>0</v>
      </c>
      <c r="F25" s="428">
        <v>52</v>
      </c>
      <c r="G25" s="428">
        <v>2</v>
      </c>
      <c r="H25" s="340">
        <v>1</v>
      </c>
      <c r="I25" s="340">
        <v>1.3</v>
      </c>
      <c r="J25" s="347">
        <f t="shared" ref="J25:J26" si="2">E25*F25*G25*H25*I25</f>
        <v>0</v>
      </c>
      <c r="K25" s="428">
        <v>0</v>
      </c>
      <c r="L25" s="428">
        <v>48</v>
      </c>
      <c r="M25" s="428">
        <v>2</v>
      </c>
      <c r="N25" s="340">
        <v>0.95</v>
      </c>
      <c r="O25" s="340">
        <v>1.3</v>
      </c>
      <c r="P25" s="188">
        <f t="shared" ref="P25:P26" si="3">K25*L25*M25*N25*O25</f>
        <v>0</v>
      </c>
    </row>
    <row r="26" spans="1:16" ht="12" customHeight="1">
      <c r="A26" s="590"/>
      <c r="B26" s="427" t="s">
        <v>289</v>
      </c>
      <c r="C26" s="340">
        <v>2</v>
      </c>
      <c r="D26" s="369" t="s">
        <v>46</v>
      </c>
      <c r="E26" s="428">
        <v>131.03025641025641</v>
      </c>
      <c r="F26" s="428">
        <v>39</v>
      </c>
      <c r="G26" s="428">
        <v>3</v>
      </c>
      <c r="H26" s="340">
        <v>1</v>
      </c>
      <c r="I26" s="340">
        <v>1.3</v>
      </c>
      <c r="J26" s="347">
        <f t="shared" si="2"/>
        <v>19929.702000000001</v>
      </c>
      <c r="K26" s="428">
        <v>29.710348837209303</v>
      </c>
      <c r="L26" s="428">
        <v>43</v>
      </c>
      <c r="M26" s="428">
        <v>3</v>
      </c>
      <c r="N26" s="340">
        <v>0.95</v>
      </c>
      <c r="O26" s="340">
        <v>1.3</v>
      </c>
      <c r="P26" s="188">
        <f t="shared" si="3"/>
        <v>4733.3042250000008</v>
      </c>
    </row>
    <row r="27" spans="1:16" ht="12" customHeight="1">
      <c r="A27" s="590"/>
      <c r="B27" s="427" t="s">
        <v>291</v>
      </c>
      <c r="C27" s="340">
        <v>3</v>
      </c>
      <c r="D27" s="369" t="s">
        <v>46</v>
      </c>
      <c r="E27" s="428">
        <v>23.170224719101125</v>
      </c>
      <c r="F27" s="428">
        <v>89</v>
      </c>
      <c r="G27" s="428">
        <v>4</v>
      </c>
      <c r="H27" s="340">
        <v>1</v>
      </c>
      <c r="I27" s="340">
        <v>1.3</v>
      </c>
      <c r="J27" s="347">
        <f>E27*F27*G27*H27*I27</f>
        <v>10723.18</v>
      </c>
      <c r="K27" s="428">
        <v>6.2112951807228916</v>
      </c>
      <c r="L27" s="428">
        <v>83</v>
      </c>
      <c r="M27" s="428">
        <v>4</v>
      </c>
      <c r="N27" s="340">
        <v>0.95</v>
      </c>
      <c r="O27" s="340">
        <v>1.3</v>
      </c>
      <c r="P27" s="188">
        <f>K27*L27*M27*N27*O27</f>
        <v>2546.7552500000002</v>
      </c>
    </row>
    <row r="28" spans="1:16" ht="12" customHeight="1">
      <c r="A28" s="590"/>
      <c r="B28" s="427" t="s">
        <v>290</v>
      </c>
      <c r="C28" s="340">
        <v>4</v>
      </c>
      <c r="D28" s="369" t="s">
        <v>46</v>
      </c>
      <c r="E28" s="428">
        <v>0</v>
      </c>
      <c r="F28" s="428">
        <v>55</v>
      </c>
      <c r="G28" s="428">
        <v>4</v>
      </c>
      <c r="H28" s="340">
        <v>1</v>
      </c>
      <c r="I28" s="340">
        <v>1.3</v>
      </c>
      <c r="J28" s="347">
        <f>E28*F28*G28*H28*I28</f>
        <v>0</v>
      </c>
      <c r="K28" s="428">
        <v>0</v>
      </c>
      <c r="L28" s="428">
        <v>68</v>
      </c>
      <c r="M28" s="428">
        <v>4</v>
      </c>
      <c r="N28" s="340">
        <v>0.95</v>
      </c>
      <c r="O28" s="340">
        <v>1.3</v>
      </c>
      <c r="P28" s="188">
        <f>K28*L28*M28*N28*O28</f>
        <v>0</v>
      </c>
    </row>
    <row r="29" spans="1:16" ht="12" customHeight="1">
      <c r="A29" s="590"/>
      <c r="B29" s="427" t="s">
        <v>292</v>
      </c>
      <c r="C29" s="340">
        <v>5</v>
      </c>
      <c r="D29" s="369" t="s">
        <v>46</v>
      </c>
      <c r="E29" s="428">
        <v>149.12833333333336</v>
      </c>
      <c r="F29" s="428">
        <v>30</v>
      </c>
      <c r="G29" s="428">
        <v>4</v>
      </c>
      <c r="H29" s="340">
        <v>1</v>
      </c>
      <c r="I29" s="340">
        <v>1.3</v>
      </c>
      <c r="J29" s="347">
        <f t="shared" ref="J29:J38" si="4">+E29*F29*G29*H29*I29</f>
        <v>23264.020000000004</v>
      </c>
      <c r="K29" s="428">
        <v>55.923125000000006</v>
      </c>
      <c r="L29" s="428">
        <v>20</v>
      </c>
      <c r="M29" s="428">
        <v>4</v>
      </c>
      <c r="N29" s="340">
        <v>0.95</v>
      </c>
      <c r="O29" s="340">
        <v>1.3</v>
      </c>
      <c r="P29" s="188">
        <f t="shared" ref="P29:P46" si="5">+K29*L29*M29*N29*O29</f>
        <v>5525.2047500000008</v>
      </c>
    </row>
    <row r="30" spans="1:16" ht="12" customHeight="1">
      <c r="A30" s="590"/>
      <c r="B30" s="427" t="s">
        <v>293</v>
      </c>
      <c r="C30" s="340">
        <v>6</v>
      </c>
      <c r="D30" s="369" t="s">
        <v>46</v>
      </c>
      <c r="E30" s="428">
        <v>0</v>
      </c>
      <c r="F30" s="428">
        <v>21</v>
      </c>
      <c r="G30" s="428">
        <v>4</v>
      </c>
      <c r="H30" s="340">
        <v>1</v>
      </c>
      <c r="I30" s="370">
        <v>1.3</v>
      </c>
      <c r="J30" s="347">
        <f t="shared" ref="J30" si="6">+E30*F30*G30*H30*I30</f>
        <v>0</v>
      </c>
      <c r="K30" s="428">
        <v>0</v>
      </c>
      <c r="L30" s="428">
        <v>28</v>
      </c>
      <c r="M30" s="428">
        <v>4</v>
      </c>
      <c r="N30" s="340">
        <v>0.95</v>
      </c>
      <c r="O30" s="370">
        <v>1.3</v>
      </c>
      <c r="P30" s="188">
        <f t="shared" ref="P30" si="7">+K30*L30*M30*N30*O30</f>
        <v>0</v>
      </c>
    </row>
    <row r="31" spans="1:16" ht="12" customHeight="1">
      <c r="A31" s="590"/>
      <c r="B31" s="427" t="s">
        <v>346</v>
      </c>
      <c r="C31" s="340">
        <v>6</v>
      </c>
      <c r="D31" s="369" t="s">
        <v>46</v>
      </c>
      <c r="E31" s="428">
        <v>102.77266666666668</v>
      </c>
      <c r="F31" s="428">
        <v>30</v>
      </c>
      <c r="G31" s="428">
        <v>1</v>
      </c>
      <c r="H31" s="340">
        <v>1</v>
      </c>
      <c r="I31" s="370">
        <v>1.3</v>
      </c>
      <c r="J31" s="347">
        <f t="shared" si="4"/>
        <v>4008.1340000000005</v>
      </c>
      <c r="K31" s="428">
        <v>26.579137931034484</v>
      </c>
      <c r="L31" s="428">
        <v>29</v>
      </c>
      <c r="M31" s="428">
        <v>1</v>
      </c>
      <c r="N31" s="340">
        <v>0.95</v>
      </c>
      <c r="O31" s="370">
        <v>1.3</v>
      </c>
      <c r="P31" s="188">
        <f t="shared" si="5"/>
        <v>951.93182500000012</v>
      </c>
    </row>
    <row r="32" spans="1:16" ht="12" customHeight="1">
      <c r="A32" s="590"/>
      <c r="B32" s="427" t="s">
        <v>285</v>
      </c>
      <c r="C32" s="340">
        <v>7</v>
      </c>
      <c r="D32" s="369" t="s">
        <v>46</v>
      </c>
      <c r="E32" s="428">
        <v>0</v>
      </c>
      <c r="F32" s="428">
        <v>30</v>
      </c>
      <c r="G32" s="428">
        <v>1</v>
      </c>
      <c r="H32" s="340">
        <v>1</v>
      </c>
      <c r="I32" s="370">
        <v>1.3</v>
      </c>
      <c r="J32" s="347">
        <f t="shared" si="4"/>
        <v>0</v>
      </c>
      <c r="K32" s="428">
        <v>0</v>
      </c>
      <c r="L32" s="428">
        <v>30</v>
      </c>
      <c r="M32" s="428">
        <v>1</v>
      </c>
      <c r="N32" s="340">
        <v>0.95</v>
      </c>
      <c r="O32" s="370">
        <v>1.3</v>
      </c>
      <c r="P32" s="188">
        <f t="shared" si="5"/>
        <v>0</v>
      </c>
    </row>
    <row r="33" spans="1:16" ht="12">
      <c r="A33" s="590"/>
      <c r="B33" s="316"/>
      <c r="C33" s="340">
        <v>8</v>
      </c>
      <c r="D33" s="369" t="s">
        <v>46</v>
      </c>
      <c r="E33" s="429"/>
      <c r="F33" s="429"/>
      <c r="G33" s="430"/>
      <c r="H33" s="340">
        <v>1</v>
      </c>
      <c r="I33" s="370">
        <v>1.3</v>
      </c>
      <c r="J33" s="347">
        <f t="shared" si="4"/>
        <v>0</v>
      </c>
      <c r="K33" s="428"/>
      <c r="L33" s="428"/>
      <c r="M33" s="428"/>
      <c r="N33" s="340">
        <v>0.95</v>
      </c>
      <c r="O33" s="370">
        <v>1.3</v>
      </c>
      <c r="P33" s="188">
        <f>+K33*L33*M33*N33*O33</f>
        <v>0</v>
      </c>
    </row>
    <row r="34" spans="1:16" ht="12" hidden="1" customHeight="1">
      <c r="A34" s="590"/>
      <c r="B34" s="431"/>
      <c r="C34" s="340">
        <v>9</v>
      </c>
      <c r="D34" s="369" t="s">
        <v>46</v>
      </c>
      <c r="E34" s="429"/>
      <c r="F34" s="429"/>
      <c r="G34" s="430"/>
      <c r="H34" s="340">
        <v>1</v>
      </c>
      <c r="I34" s="370">
        <v>1.3</v>
      </c>
      <c r="J34" s="347">
        <f t="shared" si="4"/>
        <v>0</v>
      </c>
      <c r="K34" s="428"/>
      <c r="L34" s="428"/>
      <c r="M34" s="428"/>
      <c r="N34" s="340">
        <v>0.95</v>
      </c>
      <c r="O34" s="370">
        <v>1.3</v>
      </c>
      <c r="P34" s="188">
        <f t="shared" si="5"/>
        <v>0</v>
      </c>
    </row>
    <row r="35" spans="1:16" ht="12" hidden="1" customHeight="1">
      <c r="A35" s="590"/>
      <c r="B35" s="259"/>
      <c r="C35" s="340">
        <v>10</v>
      </c>
      <c r="D35" s="369" t="s">
        <v>46</v>
      </c>
      <c r="E35" s="428"/>
      <c r="F35" s="428"/>
      <c r="G35" s="428"/>
      <c r="H35" s="340">
        <v>1</v>
      </c>
      <c r="I35" s="370">
        <v>1.3</v>
      </c>
      <c r="J35" s="347">
        <f t="shared" si="4"/>
        <v>0</v>
      </c>
      <c r="K35" s="428"/>
      <c r="L35" s="428"/>
      <c r="M35" s="428"/>
      <c r="N35" s="340">
        <v>0.95</v>
      </c>
      <c r="O35" s="370">
        <v>1.3</v>
      </c>
      <c r="P35" s="188">
        <f t="shared" si="5"/>
        <v>0</v>
      </c>
    </row>
    <row r="36" spans="1:16" ht="12" hidden="1" customHeight="1">
      <c r="A36" s="590"/>
      <c r="B36" s="431"/>
      <c r="C36" s="340">
        <v>11</v>
      </c>
      <c r="D36" s="369" t="s">
        <v>46</v>
      </c>
      <c r="E36" s="429"/>
      <c r="F36" s="429"/>
      <c r="G36" s="430"/>
      <c r="H36" s="340">
        <v>1</v>
      </c>
      <c r="I36" s="370">
        <v>1.3</v>
      </c>
      <c r="J36" s="347">
        <f t="shared" si="4"/>
        <v>0</v>
      </c>
      <c r="K36" s="428"/>
      <c r="L36" s="428"/>
      <c r="M36" s="428"/>
      <c r="N36" s="340">
        <v>0.95</v>
      </c>
      <c r="O36" s="370">
        <v>1.3</v>
      </c>
      <c r="P36" s="188">
        <f t="shared" si="5"/>
        <v>0</v>
      </c>
    </row>
    <row r="37" spans="1:16" ht="12" hidden="1" customHeight="1">
      <c r="A37" s="590"/>
      <c r="B37" s="413"/>
      <c r="C37" s="340">
        <v>12</v>
      </c>
      <c r="D37" s="369" t="s">
        <v>46</v>
      </c>
      <c r="E37" s="429"/>
      <c r="F37" s="429"/>
      <c r="G37" s="430"/>
      <c r="H37" s="340">
        <v>1</v>
      </c>
      <c r="I37" s="370">
        <v>1.26</v>
      </c>
      <c r="J37" s="347">
        <f t="shared" si="4"/>
        <v>0</v>
      </c>
      <c r="K37" s="428"/>
      <c r="L37" s="428"/>
      <c r="M37" s="428"/>
      <c r="N37" s="340">
        <v>0.95</v>
      </c>
      <c r="O37" s="370">
        <v>1.26</v>
      </c>
      <c r="P37" s="188">
        <f t="shared" si="5"/>
        <v>0</v>
      </c>
    </row>
    <row r="38" spans="1:16" ht="12" hidden="1" customHeight="1">
      <c r="A38" s="590"/>
      <c r="B38" s="413"/>
      <c r="C38" s="340">
        <v>13</v>
      </c>
      <c r="D38" s="369" t="s">
        <v>46</v>
      </c>
      <c r="E38" s="428"/>
      <c r="F38" s="428"/>
      <c r="G38" s="428"/>
      <c r="H38" s="340">
        <v>1</v>
      </c>
      <c r="I38" s="370">
        <v>1.26</v>
      </c>
      <c r="J38" s="347">
        <f t="shared" si="4"/>
        <v>0</v>
      </c>
      <c r="K38" s="428"/>
      <c r="L38" s="428"/>
      <c r="M38" s="428"/>
      <c r="N38" s="340">
        <v>0.95</v>
      </c>
      <c r="O38" s="370">
        <v>1.26</v>
      </c>
      <c r="P38" s="188">
        <f>+K38*L38*M38*N38*O38</f>
        <v>0</v>
      </c>
    </row>
    <row r="39" spans="1:16" ht="12" hidden="1" customHeight="1">
      <c r="A39" s="590"/>
      <c r="B39" s="413"/>
      <c r="C39" s="340">
        <v>14</v>
      </c>
      <c r="D39" s="369" t="s">
        <v>46</v>
      </c>
      <c r="E39" s="429"/>
      <c r="F39" s="429"/>
      <c r="G39" s="430"/>
      <c r="H39" s="340">
        <v>1</v>
      </c>
      <c r="I39" s="370">
        <v>1.26</v>
      </c>
      <c r="J39" s="347">
        <f t="shared" ref="J39:J46" si="8">+E39*F39*G39*H39*I39</f>
        <v>0</v>
      </c>
      <c r="K39" s="428"/>
      <c r="L39" s="428"/>
      <c r="M39" s="428"/>
      <c r="N39" s="340">
        <v>0.95</v>
      </c>
      <c r="O39" s="370">
        <v>1.26</v>
      </c>
      <c r="P39" s="188">
        <f t="shared" si="5"/>
        <v>0</v>
      </c>
    </row>
    <row r="40" spans="1:16" ht="12" hidden="1" customHeight="1">
      <c r="A40" s="590"/>
      <c r="B40" s="413"/>
      <c r="C40" s="340">
        <v>15</v>
      </c>
      <c r="D40" s="369" t="s">
        <v>46</v>
      </c>
      <c r="E40" s="429"/>
      <c r="F40" s="429"/>
      <c r="G40" s="430"/>
      <c r="H40" s="340">
        <v>1</v>
      </c>
      <c r="I40" s="370">
        <v>1.26</v>
      </c>
      <c r="J40" s="347">
        <f t="shared" si="8"/>
        <v>0</v>
      </c>
      <c r="K40" s="428"/>
      <c r="L40" s="428"/>
      <c r="M40" s="428"/>
      <c r="N40" s="340">
        <v>0.95</v>
      </c>
      <c r="O40" s="370">
        <v>1.26</v>
      </c>
      <c r="P40" s="188">
        <f t="shared" si="5"/>
        <v>0</v>
      </c>
    </row>
    <row r="41" spans="1:16" ht="12" hidden="1" customHeight="1">
      <c r="A41" s="590"/>
      <c r="B41" s="432"/>
      <c r="C41" s="340">
        <v>16</v>
      </c>
      <c r="D41" s="369" t="s">
        <v>46</v>
      </c>
      <c r="E41" s="429"/>
      <c r="F41" s="429"/>
      <c r="G41" s="430"/>
      <c r="H41" s="340">
        <v>1</v>
      </c>
      <c r="I41" s="370">
        <v>1.26</v>
      </c>
      <c r="J41" s="347">
        <f>+E41*F41*G41*H41*I41</f>
        <v>0</v>
      </c>
      <c r="K41" s="428"/>
      <c r="L41" s="428"/>
      <c r="M41" s="428"/>
      <c r="N41" s="340">
        <v>0.95</v>
      </c>
      <c r="O41" s="370">
        <v>1.26</v>
      </c>
      <c r="P41" s="188">
        <f t="shared" si="5"/>
        <v>0</v>
      </c>
    </row>
    <row r="42" spans="1:16" ht="12" hidden="1" customHeight="1">
      <c r="A42" s="590"/>
      <c r="B42" s="413"/>
      <c r="C42" s="340">
        <v>17</v>
      </c>
      <c r="D42" s="369" t="s">
        <v>46</v>
      </c>
      <c r="E42" s="429"/>
      <c r="F42" s="429"/>
      <c r="G42" s="430"/>
      <c r="H42" s="340">
        <v>1</v>
      </c>
      <c r="I42" s="370">
        <v>1.26</v>
      </c>
      <c r="J42" s="347">
        <f t="shared" si="8"/>
        <v>0</v>
      </c>
      <c r="K42" s="428"/>
      <c r="L42" s="428"/>
      <c r="M42" s="428"/>
      <c r="N42" s="340">
        <v>0.95</v>
      </c>
      <c r="O42" s="370">
        <v>1.26</v>
      </c>
      <c r="P42" s="188">
        <f t="shared" si="5"/>
        <v>0</v>
      </c>
    </row>
    <row r="43" spans="1:16" ht="12" hidden="1" customHeight="1">
      <c r="A43" s="590"/>
      <c r="B43" s="413"/>
      <c r="C43" s="340">
        <v>18</v>
      </c>
      <c r="D43" s="369" t="s">
        <v>46</v>
      </c>
      <c r="E43" s="429"/>
      <c r="F43" s="429"/>
      <c r="G43" s="430"/>
      <c r="H43" s="340">
        <v>1</v>
      </c>
      <c r="I43" s="370">
        <v>1.26</v>
      </c>
      <c r="J43" s="347">
        <f t="shared" si="8"/>
        <v>0</v>
      </c>
      <c r="K43" s="428"/>
      <c r="L43" s="428"/>
      <c r="M43" s="428"/>
      <c r="N43" s="340">
        <v>0.95</v>
      </c>
      <c r="O43" s="370">
        <v>1.26</v>
      </c>
      <c r="P43" s="188">
        <f t="shared" si="5"/>
        <v>0</v>
      </c>
    </row>
    <row r="44" spans="1:16" ht="12" hidden="1" customHeight="1">
      <c r="A44" s="590"/>
      <c r="B44" s="413"/>
      <c r="C44" s="340">
        <v>19</v>
      </c>
      <c r="D44" s="369" t="s">
        <v>46</v>
      </c>
      <c r="E44" s="429"/>
      <c r="F44" s="429"/>
      <c r="G44" s="430"/>
      <c r="H44" s="340">
        <v>1</v>
      </c>
      <c r="I44" s="370">
        <v>1.26</v>
      </c>
      <c r="J44" s="347">
        <f t="shared" si="8"/>
        <v>0</v>
      </c>
      <c r="K44" s="428"/>
      <c r="L44" s="428"/>
      <c r="M44" s="428"/>
      <c r="N44" s="340">
        <v>0.95</v>
      </c>
      <c r="O44" s="370">
        <v>1.26</v>
      </c>
      <c r="P44" s="188">
        <f t="shared" si="5"/>
        <v>0</v>
      </c>
    </row>
    <row r="45" spans="1:16" ht="12" hidden="1" customHeight="1">
      <c r="A45" s="590"/>
      <c r="B45" s="413"/>
      <c r="C45" s="340">
        <v>20</v>
      </c>
      <c r="D45" s="369" t="s">
        <v>46</v>
      </c>
      <c r="E45" s="429"/>
      <c r="F45" s="429"/>
      <c r="G45" s="430"/>
      <c r="H45" s="340">
        <v>1</v>
      </c>
      <c r="I45" s="370">
        <v>1.26</v>
      </c>
      <c r="J45" s="347">
        <f t="shared" si="8"/>
        <v>0</v>
      </c>
      <c r="K45" s="428"/>
      <c r="L45" s="428"/>
      <c r="M45" s="428"/>
      <c r="N45" s="340">
        <v>0.95</v>
      </c>
      <c r="O45" s="370">
        <v>1.26</v>
      </c>
      <c r="P45" s="188">
        <f t="shared" si="5"/>
        <v>0</v>
      </c>
    </row>
    <row r="46" spans="1:16" ht="12" hidden="1" customHeight="1">
      <c r="A46" s="590"/>
      <c r="B46" s="432"/>
      <c r="C46" s="340">
        <v>21</v>
      </c>
      <c r="D46" s="369" t="s">
        <v>46</v>
      </c>
      <c r="E46" s="429"/>
      <c r="F46" s="429"/>
      <c r="G46" s="430"/>
      <c r="H46" s="340">
        <v>1</v>
      </c>
      <c r="I46" s="370">
        <v>1.26</v>
      </c>
      <c r="J46" s="347">
        <f t="shared" si="8"/>
        <v>0</v>
      </c>
      <c r="K46" s="428"/>
      <c r="L46" s="428"/>
      <c r="M46" s="428"/>
      <c r="N46" s="340">
        <v>0.95</v>
      </c>
      <c r="O46" s="370">
        <v>1.26</v>
      </c>
      <c r="P46" s="188">
        <f t="shared" si="5"/>
        <v>0</v>
      </c>
    </row>
    <row r="47" spans="1:16" ht="12" hidden="1" customHeight="1">
      <c r="A47" s="590"/>
      <c r="B47" s="413"/>
      <c r="C47" s="340">
        <v>22</v>
      </c>
      <c r="D47" s="369" t="s">
        <v>46</v>
      </c>
      <c r="E47" s="429"/>
      <c r="F47" s="429"/>
      <c r="G47" s="430"/>
      <c r="H47" s="340">
        <v>1</v>
      </c>
      <c r="I47" s="370">
        <v>1.26</v>
      </c>
      <c r="J47" s="347">
        <f t="shared" ref="J47" si="9">+E47*F47*G47*H47*I47</f>
        <v>0</v>
      </c>
      <c r="K47" s="428"/>
      <c r="L47" s="428"/>
      <c r="M47" s="428"/>
      <c r="N47" s="340">
        <v>0.95</v>
      </c>
      <c r="O47" s="370">
        <v>1.26</v>
      </c>
      <c r="P47" s="188">
        <f t="shared" ref="P47:P49" si="10">+K47*L47*M47*N47*O47</f>
        <v>0</v>
      </c>
    </row>
    <row r="48" spans="1:16" ht="12" hidden="1" customHeight="1">
      <c r="A48" s="590"/>
      <c r="B48" s="413"/>
      <c r="C48" s="340">
        <v>23</v>
      </c>
      <c r="D48" s="369" t="s">
        <v>46</v>
      </c>
      <c r="E48" s="429"/>
      <c r="F48" s="429"/>
      <c r="G48" s="430"/>
      <c r="H48" s="340">
        <v>1</v>
      </c>
      <c r="I48" s="370">
        <v>1.26</v>
      </c>
      <c r="J48" s="347">
        <f>+E48*F48*G48*H48*I48</f>
        <v>0</v>
      </c>
      <c r="K48" s="428"/>
      <c r="L48" s="428"/>
      <c r="M48" s="428"/>
      <c r="N48" s="340">
        <v>0.95</v>
      </c>
      <c r="O48" s="370">
        <v>1.26</v>
      </c>
      <c r="P48" s="188">
        <f t="shared" si="10"/>
        <v>0</v>
      </c>
    </row>
    <row r="49" spans="1:16" ht="12" hidden="1" customHeight="1">
      <c r="A49" s="590"/>
      <c r="B49" s="413"/>
      <c r="C49" s="340">
        <v>24</v>
      </c>
      <c r="D49" s="369" t="s">
        <v>46</v>
      </c>
      <c r="E49" s="429"/>
      <c r="F49" s="429"/>
      <c r="G49" s="430"/>
      <c r="H49" s="340">
        <v>1</v>
      </c>
      <c r="I49" s="370">
        <v>1.26</v>
      </c>
      <c r="J49" s="347">
        <f>+E49*F49*G49*H49*I49</f>
        <v>0</v>
      </c>
      <c r="K49" s="428"/>
      <c r="L49" s="428"/>
      <c r="M49" s="428"/>
      <c r="N49" s="340">
        <v>0.95</v>
      </c>
      <c r="O49" s="370">
        <v>1.26</v>
      </c>
      <c r="P49" s="188">
        <f t="shared" si="10"/>
        <v>0</v>
      </c>
    </row>
    <row r="50" spans="1:16" ht="12" hidden="1" customHeight="1">
      <c r="A50" s="590"/>
      <c r="B50" s="432"/>
      <c r="C50" s="340">
        <v>25</v>
      </c>
      <c r="D50" s="369" t="s">
        <v>46</v>
      </c>
      <c r="E50" s="429"/>
      <c r="F50" s="429"/>
      <c r="G50" s="430"/>
      <c r="H50" s="340">
        <v>1</v>
      </c>
      <c r="I50" s="370">
        <v>1.26</v>
      </c>
      <c r="J50" s="347">
        <f t="shared" ref="J50" si="11">+E50*F50*G50*H50*I50</f>
        <v>0</v>
      </c>
      <c r="K50" s="428"/>
      <c r="L50" s="428"/>
      <c r="M50" s="428"/>
      <c r="N50" s="340">
        <v>0.95</v>
      </c>
      <c r="O50" s="370">
        <v>1.26</v>
      </c>
      <c r="P50" s="188">
        <f t="shared" ref="P50" si="12">+K50*L50*M50*N50*O50</f>
        <v>0</v>
      </c>
    </row>
    <row r="51" spans="1:16" ht="12" customHeight="1">
      <c r="A51" s="591"/>
      <c r="B51" s="593" t="s">
        <v>36</v>
      </c>
      <c r="C51" s="594"/>
      <c r="D51" s="595"/>
      <c r="E51" s="361"/>
      <c r="F51" s="352"/>
      <c r="G51" s="397"/>
      <c r="H51" s="397"/>
      <c r="I51" s="397"/>
      <c r="J51" s="346">
        <f>SUM(J25:J50)</f>
        <v>57925.036</v>
      </c>
      <c r="K51" s="398"/>
      <c r="L51" s="398"/>
      <c r="M51" s="399"/>
      <c r="N51" s="315"/>
      <c r="O51" s="315"/>
      <c r="P51" s="224">
        <f>SUM(P25:P50)</f>
        <v>13757.196050000002</v>
      </c>
    </row>
    <row r="52" spans="1:16" ht="12" hidden="1" customHeight="1">
      <c r="A52" s="589" t="s">
        <v>82</v>
      </c>
      <c r="B52" s="340" t="s">
        <v>226</v>
      </c>
      <c r="C52" s="340">
        <v>1</v>
      </c>
      <c r="D52" s="369" t="s">
        <v>46</v>
      </c>
      <c r="E52" s="352"/>
      <c r="F52" s="361">
        <v>20</v>
      </c>
      <c r="G52" s="357">
        <v>2</v>
      </c>
      <c r="H52" s="340">
        <v>1</v>
      </c>
      <c r="I52" s="370">
        <v>1.26</v>
      </c>
      <c r="J52" s="346">
        <f t="shared" ref="J52:J53" si="13">+E52*F52*G52*H52*I52</f>
        <v>0</v>
      </c>
      <c r="K52" s="352">
        <f t="shared" ref="K52:K53" si="14">+E52</f>
        <v>0</v>
      </c>
      <c r="L52" s="361">
        <f t="shared" ref="L52:L53" si="15">+F52</f>
        <v>20</v>
      </c>
      <c r="M52" s="361">
        <f t="shared" ref="M52:M53" si="16">+G52</f>
        <v>2</v>
      </c>
      <c r="N52" s="340">
        <v>0.95</v>
      </c>
      <c r="O52" s="370">
        <v>1.26</v>
      </c>
      <c r="P52" s="81">
        <f t="shared" ref="P52:P53" si="17">+K52*L52*M52*N52*O52</f>
        <v>0</v>
      </c>
    </row>
    <row r="53" spans="1:16" ht="12" hidden="1" customHeight="1">
      <c r="A53" s="590"/>
      <c r="B53" s="340" t="s">
        <v>227</v>
      </c>
      <c r="C53" s="340">
        <v>2</v>
      </c>
      <c r="D53" s="369" t="s">
        <v>46</v>
      </c>
      <c r="E53" s="352"/>
      <c r="F53" s="361">
        <v>42</v>
      </c>
      <c r="G53" s="357">
        <v>0.5</v>
      </c>
      <c r="H53" s="340">
        <v>1</v>
      </c>
      <c r="I53" s="370">
        <v>1.26</v>
      </c>
      <c r="J53" s="346">
        <f t="shared" si="13"/>
        <v>0</v>
      </c>
      <c r="K53" s="352">
        <f t="shared" si="14"/>
        <v>0</v>
      </c>
      <c r="L53" s="361">
        <f t="shared" si="15"/>
        <v>42</v>
      </c>
      <c r="M53" s="361">
        <f t="shared" si="16"/>
        <v>0.5</v>
      </c>
      <c r="N53" s="340">
        <v>0.95</v>
      </c>
      <c r="O53" s="370">
        <v>1.26</v>
      </c>
      <c r="P53" s="81">
        <f t="shared" si="17"/>
        <v>0</v>
      </c>
    </row>
    <row r="54" spans="1:16" ht="12" hidden="1" customHeight="1">
      <c r="A54" s="591"/>
      <c r="B54" s="593" t="s">
        <v>36</v>
      </c>
      <c r="C54" s="594"/>
      <c r="D54" s="595"/>
      <c r="E54" s="361"/>
      <c r="F54" s="352"/>
      <c r="G54" s="397"/>
      <c r="H54" s="397"/>
      <c r="I54" s="397"/>
      <c r="J54" s="346">
        <f>SUM(J52:J53)</f>
        <v>0</v>
      </c>
      <c r="K54" s="398"/>
      <c r="L54" s="398"/>
      <c r="M54" s="399"/>
      <c r="N54" s="315"/>
      <c r="O54" s="315"/>
      <c r="P54" s="224">
        <f>SUM(P52:P53)</f>
        <v>0</v>
      </c>
    </row>
    <row r="55" spans="1:16" ht="12" hidden="1" customHeight="1">
      <c r="A55" s="608"/>
      <c r="B55" s="609"/>
      <c r="C55" s="609"/>
      <c r="D55" s="610"/>
      <c r="E55" s="400"/>
      <c r="F55" s="400"/>
      <c r="G55" s="400"/>
      <c r="H55" s="400"/>
      <c r="I55" s="400"/>
      <c r="J55" s="225"/>
      <c r="K55" s="225"/>
      <c r="L55" s="225"/>
      <c r="M55" s="225"/>
      <c r="N55" s="225"/>
      <c r="O55" s="225"/>
      <c r="P55" s="224"/>
    </row>
    <row r="56" spans="1:16" ht="12" customHeight="1">
      <c r="A56" s="608" t="s">
        <v>294</v>
      </c>
      <c r="B56" s="609"/>
      <c r="C56" s="609"/>
      <c r="D56" s="610"/>
      <c r="E56" s="400"/>
      <c r="F56" s="400"/>
      <c r="G56" s="400"/>
      <c r="H56" s="400"/>
      <c r="I56" s="400"/>
      <c r="J56" s="225">
        <f>J24</f>
        <v>0</v>
      </c>
      <c r="K56" s="225"/>
      <c r="L56" s="225"/>
      <c r="M56" s="225"/>
      <c r="N56" s="225"/>
      <c r="O56" s="225"/>
      <c r="P56" s="224">
        <f>P24</f>
        <v>0</v>
      </c>
    </row>
    <row r="57" spans="1:16" ht="12" customHeight="1">
      <c r="A57" s="608" t="s">
        <v>295</v>
      </c>
      <c r="B57" s="609"/>
      <c r="C57" s="609"/>
      <c r="D57" s="610"/>
      <c r="E57" s="400"/>
      <c r="F57" s="400"/>
      <c r="G57" s="400"/>
      <c r="H57" s="400"/>
      <c r="I57" s="400"/>
      <c r="J57" s="225">
        <f>SUM(J51)</f>
        <v>57925.036</v>
      </c>
      <c r="K57" s="225"/>
      <c r="L57" s="225"/>
      <c r="M57" s="225"/>
      <c r="N57" s="225"/>
      <c r="O57" s="225"/>
      <c r="P57" s="224">
        <f>SUM(P51)</f>
        <v>13757.196050000002</v>
      </c>
    </row>
    <row r="58" spans="1:16" ht="11.25" customHeight="1">
      <c r="A58" s="621" t="s">
        <v>242</v>
      </c>
      <c r="B58" s="622"/>
      <c r="C58" s="622"/>
      <c r="D58" s="647"/>
      <c r="E58" s="222"/>
      <c r="F58" s="222"/>
      <c r="G58" s="222"/>
      <c r="H58" s="222"/>
      <c r="I58" s="222"/>
      <c r="J58" s="223">
        <f>SUM(J55:J57)</f>
        <v>57925.036</v>
      </c>
      <c r="K58" s="223"/>
      <c r="L58" s="223"/>
      <c r="M58" s="223"/>
      <c r="N58" s="223"/>
      <c r="O58" s="223"/>
      <c r="P58" s="292">
        <f>SUM(P55:P57)</f>
        <v>13757.196050000002</v>
      </c>
    </row>
    <row r="59" spans="1:16" ht="11.25" customHeight="1">
      <c r="A59" s="605" t="s">
        <v>296</v>
      </c>
      <c r="B59" s="594"/>
      <c r="C59" s="594"/>
      <c r="D59" s="595"/>
      <c r="E59" s="401"/>
      <c r="F59" s="401"/>
      <c r="G59" s="401"/>
      <c r="H59" s="401"/>
      <c r="I59" s="401"/>
      <c r="J59" s="365"/>
      <c r="K59" s="648">
        <v>0</v>
      </c>
      <c r="L59" s="649"/>
      <c r="M59" s="649"/>
      <c r="N59" s="649"/>
      <c r="O59" s="649"/>
      <c r="P59" s="650"/>
    </row>
    <row r="60" spans="1:16" ht="12" customHeight="1">
      <c r="A60" s="618" t="s">
        <v>248</v>
      </c>
      <c r="B60" s="641" t="s">
        <v>37</v>
      </c>
      <c r="C60" s="641"/>
      <c r="D60" s="642"/>
      <c r="E60" s="234"/>
      <c r="F60" s="234"/>
      <c r="G60" s="234"/>
      <c r="H60" s="234"/>
      <c r="I60" s="234"/>
      <c r="J60" s="220">
        <f>+SUMIF($D$14:$D$54,"PH",($J$14:$J$54))</f>
        <v>0</v>
      </c>
      <c r="K60" s="233"/>
      <c r="L60" s="233"/>
      <c r="M60" s="233"/>
      <c r="N60" s="233"/>
      <c r="O60" s="233"/>
      <c r="P60" s="235">
        <f>+SUMIF($D$14:$D$54,"PH",($P$14:$P$54))</f>
        <v>0</v>
      </c>
    </row>
    <row r="61" spans="1:16" ht="12" customHeight="1">
      <c r="A61" s="619"/>
      <c r="B61" s="643" t="s">
        <v>40</v>
      </c>
      <c r="C61" s="643"/>
      <c r="D61" s="644"/>
      <c r="E61" s="234"/>
      <c r="F61" s="234"/>
      <c r="G61" s="234"/>
      <c r="H61" s="234"/>
      <c r="I61" s="234"/>
      <c r="J61" s="220">
        <f>+SUMIF($D$14:$D$54,"PL",($J$14:$J$54))</f>
        <v>0</v>
      </c>
      <c r="K61" s="233"/>
      <c r="L61" s="233"/>
      <c r="M61" s="233"/>
      <c r="N61" s="233"/>
      <c r="O61" s="233"/>
      <c r="P61" s="235">
        <f>+SUMIF($D$14:$D$54,"PL",($P$14:$P$54))</f>
        <v>0</v>
      </c>
    </row>
    <row r="62" spans="1:16" ht="12" customHeight="1">
      <c r="A62" s="619"/>
      <c r="B62" s="629" t="s">
        <v>41</v>
      </c>
      <c r="C62" s="629"/>
      <c r="D62" s="630"/>
      <c r="E62" s="234"/>
      <c r="F62" s="234"/>
      <c r="G62" s="234"/>
      <c r="H62" s="234"/>
      <c r="I62" s="234"/>
      <c r="J62" s="220">
        <f>+SUMIF($D$14:$D$54,"MH",($J$14:$J$54))</f>
        <v>0</v>
      </c>
      <c r="K62" s="233"/>
      <c r="L62" s="233"/>
      <c r="M62" s="233"/>
      <c r="N62" s="233"/>
      <c r="O62" s="233"/>
      <c r="P62" s="235">
        <f>+SUMIF($D$14:$D$54,"MH",($P$14:$P$54))</f>
        <v>0</v>
      </c>
    </row>
    <row r="63" spans="1:16" ht="12" customHeight="1">
      <c r="A63" s="619"/>
      <c r="B63" s="594" t="s">
        <v>44</v>
      </c>
      <c r="C63" s="594"/>
      <c r="D63" s="595"/>
      <c r="E63" s="234"/>
      <c r="F63" s="234"/>
      <c r="G63" s="234"/>
      <c r="H63" s="234"/>
      <c r="I63" s="234"/>
      <c r="J63" s="220">
        <f>+SUMIF($D$14:$D$54,"ML",($J$14:$J$54))</f>
        <v>0</v>
      </c>
      <c r="K63" s="233"/>
      <c r="L63" s="233"/>
      <c r="M63" s="233"/>
      <c r="N63" s="233"/>
      <c r="O63" s="233"/>
      <c r="P63" s="235">
        <f>+SUMIF($D$14:$D$54,"ML",($P$14:$P$54))</f>
        <v>0</v>
      </c>
    </row>
    <row r="64" spans="1:16" ht="12" customHeight="1">
      <c r="A64" s="619"/>
      <c r="B64" s="616" t="s">
        <v>46</v>
      </c>
      <c r="C64" s="616"/>
      <c r="D64" s="617"/>
      <c r="E64" s="402"/>
      <c r="F64" s="402"/>
      <c r="G64" s="402"/>
      <c r="H64" s="402"/>
      <c r="I64" s="402"/>
      <c r="J64" s="403">
        <f>+SUMIF($D$14:$D$54,"SM",($J$14:$J$54))</f>
        <v>57925.036</v>
      </c>
      <c r="K64" s="404"/>
      <c r="L64" s="404"/>
      <c r="M64" s="404"/>
      <c r="N64" s="404"/>
      <c r="O64" s="404"/>
      <c r="P64" s="219">
        <f>+SUMIF($D$14:$D$54,"SM",($P$14:$P$54))</f>
        <v>13757.196050000002</v>
      </c>
    </row>
    <row r="65" spans="1:16" ht="12" customHeight="1" thickBot="1">
      <c r="A65" s="620"/>
      <c r="B65" s="645" t="s">
        <v>48</v>
      </c>
      <c r="C65" s="645"/>
      <c r="D65" s="646"/>
      <c r="E65" s="179"/>
      <c r="F65" s="180"/>
      <c r="G65" s="180"/>
      <c r="H65" s="180"/>
      <c r="I65" s="180"/>
      <c r="J65" s="181">
        <f>SUM(J60:J64)</f>
        <v>57925.036</v>
      </c>
      <c r="K65" s="182"/>
      <c r="L65" s="182"/>
      <c r="M65" s="182"/>
      <c r="N65" s="182"/>
      <c r="O65" s="182"/>
      <c r="P65" s="183">
        <f>SUM(P60:P64)</f>
        <v>13757.196050000002</v>
      </c>
    </row>
    <row r="66" spans="1:16" ht="15" hidden="1" customHeight="1" thickBot="1">
      <c r="A66" s="576" t="s">
        <v>256</v>
      </c>
      <c r="B66" s="577"/>
      <c r="C66" s="577"/>
      <c r="D66" s="577"/>
      <c r="E66" s="577"/>
      <c r="F66" s="577"/>
      <c r="G66" s="577"/>
      <c r="H66" s="577"/>
      <c r="I66" s="577"/>
      <c r="J66" s="577"/>
      <c r="K66" s="577"/>
      <c r="L66" s="577"/>
      <c r="M66" s="577"/>
      <c r="N66" s="577"/>
      <c r="O66" s="577"/>
      <c r="P66" s="578"/>
    </row>
    <row r="67" spans="1:16" ht="15" hidden="1" customHeight="1"/>
    <row r="68" spans="1:16" ht="15" hidden="1" customHeight="1"/>
    <row r="69" spans="1:16" ht="15" hidden="1" customHeight="1"/>
    <row r="70" spans="1:16" ht="15" hidden="1" customHeight="1"/>
    <row r="71" spans="1:16" ht="15" hidden="1" customHeight="1"/>
    <row r="72" spans="1:16" ht="15" hidden="1" customHeight="1"/>
    <row r="73" spans="1:16" ht="15" hidden="1" customHeight="1"/>
    <row r="74" spans="1:16" ht="15" hidden="1" customHeight="1"/>
    <row r="75" spans="1:16" ht="15" hidden="1" customHeight="1"/>
    <row r="76" spans="1:16" ht="15" hidden="1" customHeight="1"/>
    <row r="77" spans="1:16" ht="15" hidden="1" customHeight="1"/>
    <row r="78" spans="1:16" ht="15" hidden="1" customHeight="1"/>
    <row r="79" spans="1:16" ht="15" hidden="1" customHeight="1"/>
    <row r="80" spans="1:16" ht="15" hidden="1" customHeight="1"/>
    <row r="81" ht="15" hidden="1" customHeight="1"/>
    <row r="82" ht="15" hidden="1" customHeight="1"/>
    <row r="83" ht="15" hidden="1" customHeight="1"/>
    <row r="84" ht="15" hidden="1" customHeight="1"/>
    <row r="85" ht="15" hidden="1" customHeight="1"/>
    <row r="86" ht="15" hidden="1" customHeight="1"/>
    <row r="87" ht="15" hidden="1" customHeight="1"/>
    <row r="88" ht="15" hidden="1" customHeight="1"/>
    <row r="89" ht="15" hidden="1" customHeight="1"/>
    <row r="90" ht="15" hidden="1" customHeight="1"/>
    <row r="91" ht="15" hidden="1" customHeight="1"/>
    <row r="92" ht="15" hidden="1" customHeight="1"/>
    <row r="93" ht="15" hidden="1" customHeight="1"/>
    <row r="94" ht="15" hidden="1" customHeight="1"/>
    <row r="95" ht="15" hidden="1" customHeight="1"/>
    <row r="96" ht="15" hidden="1" customHeight="1"/>
    <row r="97" ht="15" hidden="1" customHeight="1"/>
    <row r="98" ht="15" hidden="1" customHeight="1"/>
    <row r="99" ht="15" hidden="1" customHeight="1"/>
    <row r="100" ht="15" hidden="1" customHeight="1"/>
    <row r="101" ht="15" hidden="1" customHeight="1"/>
    <row r="102" ht="15" hidden="1" customHeight="1"/>
    <row r="103" ht="15" hidden="1" customHeight="1"/>
    <row r="104" ht="15" hidden="1" customHeight="1"/>
    <row r="105" ht="15" hidden="1" customHeight="1"/>
    <row r="106" ht="15" hidden="1" customHeight="1"/>
    <row r="107" ht="15" hidden="1" customHeight="1"/>
    <row r="108" ht="15" hidden="1" customHeight="1"/>
    <row r="109" ht="15" hidden="1" customHeight="1"/>
    <row r="110" ht="15" hidden="1" customHeight="1"/>
    <row r="111" ht="15" hidden="1" customHeight="1"/>
    <row r="112" ht="15" hidden="1" customHeight="1"/>
    <row r="113" spans="1:16" ht="15" hidden="1" customHeight="1"/>
    <row r="114" spans="1:16" ht="15" hidden="1" customHeight="1"/>
    <row r="115" spans="1:16" ht="15" hidden="1" customHeight="1">
      <c r="A115" s="267"/>
      <c r="B115" s="198"/>
      <c r="C115" s="198"/>
      <c r="D115" s="199"/>
      <c r="E115" s="199"/>
      <c r="P115" s="68"/>
    </row>
    <row r="116" spans="1:16" ht="15" hidden="1" customHeight="1">
      <c r="A116" s="267"/>
      <c r="B116" s="201"/>
      <c r="C116" s="201"/>
      <c r="D116" s="199"/>
      <c r="E116" s="199"/>
      <c r="P116" s="68"/>
    </row>
    <row r="117" spans="1:16" ht="15" hidden="1" customHeight="1" thickBot="1"/>
    <row r="118" spans="1:16" ht="15" customHeight="1" thickBot="1">
      <c r="A118" s="576" t="s">
        <v>297</v>
      </c>
      <c r="B118" s="577"/>
      <c r="C118" s="577"/>
      <c r="D118" s="577"/>
      <c r="E118" s="577"/>
      <c r="F118" s="577"/>
      <c r="G118" s="577"/>
      <c r="H118" s="577"/>
      <c r="I118" s="577"/>
      <c r="J118" s="577"/>
      <c r="K118" s="577"/>
      <c r="L118" s="577"/>
      <c r="M118" s="577"/>
      <c r="N118" s="577"/>
      <c r="O118" s="577"/>
      <c r="P118" s="578"/>
    </row>
    <row r="119" spans="1:16" ht="15" customHeight="1">
      <c r="A119" s="71"/>
      <c r="B119" s="72"/>
      <c r="C119" s="72"/>
      <c r="D119" s="77"/>
      <c r="E119" s="77"/>
      <c r="F119" s="77"/>
      <c r="G119" s="77"/>
      <c r="H119" s="77"/>
      <c r="I119" s="77"/>
      <c r="J119" s="72"/>
      <c r="K119" s="72"/>
      <c r="L119" s="72"/>
      <c r="M119" s="72"/>
      <c r="N119" s="72"/>
      <c r="O119" s="72"/>
      <c r="P119" s="73"/>
    </row>
    <row r="120" spans="1:16" ht="15" customHeight="1">
      <c r="A120" s="67"/>
      <c r="P120" s="68"/>
    </row>
    <row r="121" spans="1:16" ht="15" customHeight="1">
      <c r="A121" s="67"/>
      <c r="P121" s="68"/>
    </row>
    <row r="122" spans="1:16" ht="15" customHeight="1">
      <c r="A122" s="67"/>
      <c r="P122" s="68"/>
    </row>
    <row r="123" spans="1:16" ht="15" customHeight="1">
      <c r="A123" s="67"/>
      <c r="P123" s="68"/>
    </row>
    <row r="124" spans="1:16" ht="15" customHeight="1">
      <c r="A124" s="67"/>
      <c r="P124" s="68"/>
    </row>
    <row r="125" spans="1:16" ht="15" customHeight="1">
      <c r="A125" s="67"/>
      <c r="P125" s="68"/>
    </row>
    <row r="126" spans="1:16" ht="15" customHeight="1">
      <c r="A126" s="67"/>
      <c r="P126" s="68"/>
    </row>
    <row r="127" spans="1:16" ht="15" customHeight="1">
      <c r="A127" s="67"/>
      <c r="P127" s="68"/>
    </row>
    <row r="128" spans="1:16" ht="15" customHeight="1">
      <c r="A128" s="67"/>
      <c r="P128" s="68"/>
    </row>
    <row r="129" spans="1:16" ht="15" customHeight="1">
      <c r="A129" s="67"/>
      <c r="P129" s="68"/>
    </row>
    <row r="130" spans="1:16" ht="15" customHeight="1">
      <c r="A130" s="67"/>
      <c r="P130" s="68"/>
    </row>
    <row r="131" spans="1:16" ht="15" customHeight="1">
      <c r="A131" s="67"/>
      <c r="P131" s="68"/>
    </row>
    <row r="132" spans="1:16" ht="15" customHeight="1">
      <c r="A132" s="67"/>
      <c r="P132" s="68"/>
    </row>
    <row r="133" spans="1:16" ht="15" customHeight="1">
      <c r="A133" s="67"/>
      <c r="P133" s="68"/>
    </row>
    <row r="134" spans="1:16" ht="15" customHeight="1">
      <c r="A134" s="67"/>
      <c r="P134" s="68"/>
    </row>
    <row r="135" spans="1:16" ht="15" customHeight="1">
      <c r="A135" s="67"/>
      <c r="P135" s="68"/>
    </row>
    <row r="136" spans="1:16" ht="15" customHeight="1">
      <c r="A136" s="67"/>
      <c r="P136" s="68"/>
    </row>
    <row r="137" spans="1:16" ht="15" customHeight="1">
      <c r="A137" s="67"/>
      <c r="P137" s="68"/>
    </row>
    <row r="138" spans="1:16" ht="15" customHeight="1">
      <c r="A138" s="67"/>
      <c r="P138" s="68"/>
    </row>
    <row r="139" spans="1:16" ht="15" customHeight="1">
      <c r="A139" s="67"/>
      <c r="P139" s="68"/>
    </row>
    <row r="140" spans="1:16" ht="15" customHeight="1">
      <c r="A140" s="67"/>
      <c r="P140" s="68"/>
    </row>
    <row r="141" spans="1:16" ht="15" customHeight="1">
      <c r="A141" s="67"/>
      <c r="P141" s="68"/>
    </row>
    <row r="142" spans="1:16" ht="15" customHeight="1">
      <c r="A142" s="67"/>
      <c r="P142" s="68"/>
    </row>
    <row r="143" spans="1:16" ht="15" customHeight="1">
      <c r="A143" s="67"/>
      <c r="P143" s="68"/>
    </row>
    <row r="144" spans="1:16" ht="15" customHeight="1">
      <c r="A144" s="67"/>
      <c r="P144" s="68"/>
    </row>
    <row r="145" spans="1:16" ht="15" customHeight="1">
      <c r="A145" s="67"/>
      <c r="P145" s="68"/>
    </row>
    <row r="146" spans="1:16" ht="15" customHeight="1">
      <c r="A146" s="67"/>
      <c r="P146" s="68"/>
    </row>
    <row r="147" spans="1:16" ht="15" customHeight="1">
      <c r="A147" s="67"/>
      <c r="P147" s="68"/>
    </row>
    <row r="148" spans="1:16" ht="15" customHeight="1">
      <c r="A148" s="67"/>
      <c r="P148" s="68"/>
    </row>
    <row r="149" spans="1:16" ht="15" customHeight="1">
      <c r="A149" s="67"/>
      <c r="P149" s="68"/>
    </row>
    <row r="150" spans="1:16" ht="15" customHeight="1">
      <c r="A150" s="67"/>
      <c r="P150" s="68"/>
    </row>
    <row r="151" spans="1:16" ht="15" customHeight="1">
      <c r="A151" s="67"/>
      <c r="P151" s="68"/>
    </row>
    <row r="152" spans="1:16" ht="15" customHeight="1">
      <c r="A152" s="67"/>
      <c r="P152" s="68"/>
    </row>
    <row r="153" spans="1:16" ht="15" customHeight="1">
      <c r="A153" s="67"/>
      <c r="P153" s="68"/>
    </row>
    <row r="154" spans="1:16" ht="15" customHeight="1">
      <c r="A154" s="67"/>
      <c r="P154" s="68"/>
    </row>
    <row r="155" spans="1:16" ht="15" customHeight="1" thickBot="1">
      <c r="A155" s="67"/>
      <c r="P155" s="68"/>
    </row>
    <row r="156" spans="1:16" ht="15" hidden="1" customHeight="1">
      <c r="P156" s="68"/>
    </row>
    <row r="157" spans="1:16" ht="15" hidden="1" customHeight="1">
      <c r="P157" s="68"/>
    </row>
    <row r="158" spans="1:16" ht="15" hidden="1" customHeight="1">
      <c r="P158" s="68"/>
    </row>
    <row r="159" spans="1:16" ht="15" hidden="1" customHeight="1">
      <c r="P159" s="68"/>
    </row>
    <row r="160" spans="1:16" ht="15" hidden="1" customHeight="1">
      <c r="P160" s="68"/>
    </row>
    <row r="161" spans="1:16" ht="15" hidden="1" customHeight="1">
      <c r="P161" s="68"/>
    </row>
    <row r="162" spans="1:16" ht="15" hidden="1" customHeight="1">
      <c r="A162" s="267"/>
      <c r="B162" s="198"/>
      <c r="C162" s="198"/>
      <c r="D162" s="199"/>
      <c r="E162" s="199"/>
      <c r="P162" s="68"/>
    </row>
    <row r="163" spans="1:16" ht="15" hidden="1" customHeight="1">
      <c r="A163" s="267"/>
      <c r="B163" s="201"/>
      <c r="C163" s="201"/>
      <c r="D163" s="199"/>
      <c r="E163" s="199"/>
      <c r="P163" s="68"/>
    </row>
    <row r="164" spans="1:16" ht="15" hidden="1" customHeight="1" thickBot="1">
      <c r="A164" s="199"/>
      <c r="B164" s="200"/>
      <c r="C164" s="260"/>
      <c r="D164" s="260"/>
      <c r="E164" s="260"/>
      <c r="F164" s="75"/>
      <c r="G164" s="75"/>
      <c r="H164" s="75"/>
      <c r="I164" s="75"/>
      <c r="J164" s="75"/>
      <c r="K164" s="75"/>
      <c r="L164" s="75"/>
      <c r="M164" s="75"/>
      <c r="N164" s="75"/>
      <c r="O164" s="75"/>
      <c r="P164" s="76"/>
    </row>
    <row r="165" spans="1:16" ht="15" customHeight="1">
      <c r="A165" s="72"/>
      <c r="B165" s="72"/>
      <c r="C165" s="72"/>
      <c r="D165" s="72"/>
      <c r="E165" s="72"/>
      <c r="F165" s="72"/>
      <c r="G165" s="72"/>
      <c r="H165" s="72"/>
      <c r="I165" s="72"/>
      <c r="J165" s="72"/>
      <c r="K165" s="72"/>
      <c r="L165" s="72"/>
      <c r="M165" s="72"/>
      <c r="N165" s="72"/>
      <c r="O165" s="72"/>
      <c r="P165" s="72"/>
    </row>
    <row r="169" spans="1:16" ht="15" customHeight="1">
      <c r="A169" s="67"/>
    </row>
  </sheetData>
  <mergeCells count="48">
    <mergeCell ref="A118:P118"/>
    <mergeCell ref="B51:D51"/>
    <mergeCell ref="A58:D58"/>
    <mergeCell ref="A60:A65"/>
    <mergeCell ref="B60:D60"/>
    <mergeCell ref="B61:D61"/>
    <mergeCell ref="B62:D62"/>
    <mergeCell ref="B63:D63"/>
    <mergeCell ref="B64:D64"/>
    <mergeCell ref="B65:D65"/>
    <mergeCell ref="A56:D56"/>
    <mergeCell ref="A57:D57"/>
    <mergeCell ref="A55:D55"/>
    <mergeCell ref="A66:P66"/>
    <mergeCell ref="A59:D59"/>
    <mergeCell ref="K59:P59"/>
    <mergeCell ref="A25:A51"/>
    <mergeCell ref="A52:A54"/>
    <mergeCell ref="B54:D54"/>
    <mergeCell ref="A12:A13"/>
    <mergeCell ref="A14:A24"/>
    <mergeCell ref="B24:D24"/>
    <mergeCell ref="M4:P4"/>
    <mergeCell ref="B8:E8"/>
    <mergeCell ref="J5:L5"/>
    <mergeCell ref="M5:P5"/>
    <mergeCell ref="A1:P1"/>
    <mergeCell ref="A2:P2"/>
    <mergeCell ref="B3:D3"/>
    <mergeCell ref="E3:G3"/>
    <mergeCell ref="H3:J3"/>
    <mergeCell ref="K3:M3"/>
    <mergeCell ref="N3:P3"/>
    <mergeCell ref="B5:F5"/>
    <mergeCell ref="G5:I5"/>
    <mergeCell ref="B4:F4"/>
    <mergeCell ref="G4:I4"/>
    <mergeCell ref="J4:L4"/>
    <mergeCell ref="K12:P12"/>
    <mergeCell ref="E12:J12"/>
    <mergeCell ref="N6:P6"/>
    <mergeCell ref="H6:J6"/>
    <mergeCell ref="E6:G6"/>
    <mergeCell ref="K6:M6"/>
    <mergeCell ref="B10:E10"/>
    <mergeCell ref="B9:F9"/>
    <mergeCell ref="B6:D6"/>
    <mergeCell ref="B12:D12"/>
  </mergeCells>
  <phoneticPr fontId="88" type="noConversion"/>
  <pageMargins left="0.5" right="0.5" top="0.5" bottom="0.5" header="0.3" footer="0.3"/>
  <pageSetup paperSize="9" scale="81" fitToHeight="0" orientation="portrait" horizontalDpi="300" verticalDpi="300" r:id="rId1"/>
  <headerFooter>
    <oddHeader>&amp;RNo. Form : FM/CH-018 (Lampiran)</oddHeader>
    <oddFooter>&amp;L&amp;F &amp;A&amp;RReported by Pit Control Section          Page &amp;P of &amp;N</oddFooter>
  </headerFooter>
  <rowBreaks count="3" manualBreakCount="3">
    <brk id="66" max="15" man="1"/>
    <brk id="117" max="15" man="1"/>
    <brk id="169" max="15" man="1"/>
  </rowBreaks>
  <ignoredErrors>
    <ignoredError sqref="J51 N51:P51" formula="1"/>
  </ignoredError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P108"/>
  <sheetViews>
    <sheetView showGridLines="0" view="pageBreakPreview" zoomScaleNormal="100" zoomScaleSheetLayoutView="100" workbookViewId="0">
      <pane ySplit="13" topLeftCell="A14" activePane="bottomLeft" state="frozen"/>
      <selection activeCell="O125" sqref="O125"/>
      <selection pane="bottomLeft" sqref="A1:P1"/>
    </sheetView>
  </sheetViews>
  <sheetFormatPr defaultColWidth="8.88671875" defaultRowHeight="15" customHeight="1"/>
  <cols>
    <col min="1" max="1" width="11.77734375" style="28" customWidth="1"/>
    <col min="2" max="2" width="6.5546875" style="28" customWidth="1"/>
    <col min="3" max="9" width="4.77734375" style="28" customWidth="1"/>
    <col min="10" max="10" width="7.77734375" style="28" customWidth="1"/>
    <col min="11" max="15" width="4.77734375" style="28" customWidth="1"/>
    <col min="16" max="16" width="7.77734375" style="28" customWidth="1"/>
    <col min="17" max="16384" width="8.88671875" style="28"/>
  </cols>
  <sheetData>
    <row r="1" spans="1:16" ht="18">
      <c r="A1" s="596" t="s">
        <v>298</v>
      </c>
      <c r="B1" s="597"/>
      <c r="C1" s="597"/>
      <c r="D1" s="597"/>
      <c r="E1" s="597"/>
      <c r="F1" s="597"/>
      <c r="G1" s="597"/>
      <c r="H1" s="597"/>
      <c r="I1" s="597"/>
      <c r="J1" s="597"/>
      <c r="K1" s="597"/>
      <c r="L1" s="597"/>
      <c r="M1" s="597"/>
      <c r="N1" s="597"/>
      <c r="O1" s="597"/>
      <c r="P1" s="598"/>
    </row>
    <row r="2" spans="1:16" ht="15" customHeight="1">
      <c r="A2" s="599" t="s">
        <v>92</v>
      </c>
      <c r="B2" s="600"/>
      <c r="C2" s="600"/>
      <c r="D2" s="600"/>
      <c r="E2" s="600"/>
      <c r="F2" s="600"/>
      <c r="G2" s="600"/>
      <c r="H2" s="600"/>
      <c r="I2" s="600"/>
      <c r="J2" s="600"/>
      <c r="K2" s="600"/>
      <c r="L2" s="600"/>
      <c r="M2" s="600"/>
      <c r="N2" s="600"/>
      <c r="O2" s="600"/>
      <c r="P2" s="601"/>
    </row>
    <row r="3" spans="1:16" ht="15" customHeight="1">
      <c r="A3" s="66" t="s">
        <v>93</v>
      </c>
      <c r="B3" s="579" t="s">
        <v>94</v>
      </c>
      <c r="C3" s="580"/>
      <c r="D3" s="581"/>
      <c r="E3" s="579" t="s">
        <v>95</v>
      </c>
      <c r="F3" s="580"/>
      <c r="G3" s="581"/>
      <c r="H3" s="602" t="s">
        <v>96</v>
      </c>
      <c r="I3" s="603"/>
      <c r="J3" s="604"/>
      <c r="K3" s="579" t="s">
        <v>97</v>
      </c>
      <c r="L3" s="580"/>
      <c r="M3" s="581"/>
      <c r="N3" s="579" t="s">
        <v>98</v>
      </c>
      <c r="O3" s="580"/>
      <c r="P3" s="582"/>
    </row>
    <row r="4" spans="1:16" ht="15" customHeight="1">
      <c r="A4" s="66" t="s">
        <v>99</v>
      </c>
      <c r="B4" s="502" t="s">
        <v>100</v>
      </c>
      <c r="C4" s="502"/>
      <c r="D4" s="502"/>
      <c r="E4" s="502"/>
      <c r="F4" s="502"/>
      <c r="G4" s="502" t="s">
        <v>101</v>
      </c>
      <c r="H4" s="502"/>
      <c r="I4" s="502"/>
      <c r="J4" s="631" t="s">
        <v>102</v>
      </c>
      <c r="K4" s="631"/>
      <c r="L4" s="631"/>
      <c r="M4" s="502" t="s">
        <v>103</v>
      </c>
      <c r="N4" s="502"/>
      <c r="O4" s="502"/>
      <c r="P4" s="502"/>
    </row>
    <row r="5" spans="1:16" ht="15" customHeight="1">
      <c r="A5" s="66" t="s">
        <v>104</v>
      </c>
      <c r="B5" s="482" t="s">
        <v>83</v>
      </c>
      <c r="C5" s="482"/>
      <c r="D5" s="482"/>
      <c r="E5" s="482"/>
      <c r="F5" s="482"/>
      <c r="G5" s="482" t="s">
        <v>105</v>
      </c>
      <c r="H5" s="482"/>
      <c r="I5" s="482"/>
      <c r="J5" s="632" t="s">
        <v>86</v>
      </c>
      <c r="K5" s="632"/>
      <c r="L5" s="632"/>
      <c r="M5" s="482" t="s">
        <v>70</v>
      </c>
      <c r="N5" s="482"/>
      <c r="O5" s="482"/>
      <c r="P5" s="482"/>
    </row>
    <row r="6" spans="1:16" ht="15" customHeight="1">
      <c r="A6" s="66" t="s">
        <v>106</v>
      </c>
      <c r="B6" s="579" t="s">
        <v>107</v>
      </c>
      <c r="C6" s="580"/>
      <c r="D6" s="581"/>
      <c r="E6" s="602" t="s">
        <v>108</v>
      </c>
      <c r="F6" s="603"/>
      <c r="G6" s="604"/>
      <c r="H6" s="579" t="s">
        <v>109</v>
      </c>
      <c r="I6" s="580"/>
      <c r="J6" s="581"/>
      <c r="K6" s="579" t="s">
        <v>110</v>
      </c>
      <c r="L6" s="580"/>
      <c r="M6" s="581"/>
      <c r="N6" s="579" t="s">
        <v>111</v>
      </c>
      <c r="O6" s="580"/>
      <c r="P6" s="582"/>
    </row>
    <row r="7" spans="1:16" ht="5.0999999999999996" customHeight="1">
      <c r="A7" s="67"/>
      <c r="P7" s="68"/>
    </row>
    <row r="8" spans="1:16" ht="15" customHeight="1">
      <c r="A8" s="69" t="s">
        <v>112</v>
      </c>
      <c r="B8" s="588" t="s">
        <v>113</v>
      </c>
      <c r="C8" s="588"/>
      <c r="D8" s="588"/>
      <c r="E8" s="588"/>
      <c r="F8" s="29"/>
      <c r="G8" s="29"/>
      <c r="H8" s="29"/>
      <c r="I8" s="29"/>
      <c r="P8" s="68"/>
    </row>
    <row r="9" spans="1:16" ht="15" customHeight="1">
      <c r="A9" s="69" t="s">
        <v>16</v>
      </c>
      <c r="B9" s="592">
        <f>Cover!A13-1</f>
        <v>45081</v>
      </c>
      <c r="C9" s="592"/>
      <c r="D9" s="592"/>
      <c r="E9" s="592"/>
      <c r="F9" s="592"/>
      <c r="G9" s="82"/>
      <c r="H9" s="82"/>
      <c r="I9" s="82"/>
      <c r="P9" s="68"/>
    </row>
    <row r="10" spans="1:16" ht="15" customHeight="1">
      <c r="A10" s="69" t="s">
        <v>114</v>
      </c>
      <c r="B10" s="588" t="s">
        <v>299</v>
      </c>
      <c r="C10" s="588"/>
      <c r="D10" s="588"/>
      <c r="E10" s="588"/>
      <c r="F10" s="29"/>
      <c r="G10" s="29"/>
      <c r="H10" s="29"/>
      <c r="I10" s="29"/>
      <c r="P10" s="68"/>
    </row>
    <row r="11" spans="1:16" ht="5.0999999999999996" customHeight="1">
      <c r="A11" s="67"/>
      <c r="P11" s="68"/>
    </row>
    <row r="12" spans="1:16" ht="12" customHeight="1">
      <c r="A12" s="606" t="s">
        <v>116</v>
      </c>
      <c r="B12" s="593" t="s">
        <v>117</v>
      </c>
      <c r="C12" s="594"/>
      <c r="D12" s="595"/>
      <c r="E12" s="593" t="s">
        <v>26</v>
      </c>
      <c r="F12" s="594"/>
      <c r="G12" s="594"/>
      <c r="H12" s="594"/>
      <c r="I12" s="594"/>
      <c r="J12" s="595"/>
      <c r="K12" s="593" t="s">
        <v>27</v>
      </c>
      <c r="L12" s="594"/>
      <c r="M12" s="594"/>
      <c r="N12" s="594"/>
      <c r="O12" s="594"/>
      <c r="P12" s="607"/>
    </row>
    <row r="13" spans="1:16" ht="12" customHeight="1">
      <c r="A13" s="606"/>
      <c r="B13" s="339" t="s">
        <v>118</v>
      </c>
      <c r="C13" s="339" t="s">
        <v>119</v>
      </c>
      <c r="D13" s="339" t="s">
        <v>120</v>
      </c>
      <c r="E13" s="339" t="s">
        <v>121</v>
      </c>
      <c r="F13" s="339" t="s">
        <v>122</v>
      </c>
      <c r="G13" s="339" t="s">
        <v>123</v>
      </c>
      <c r="H13" s="339" t="s">
        <v>124</v>
      </c>
      <c r="I13" s="339" t="s">
        <v>125</v>
      </c>
      <c r="J13" s="339" t="s">
        <v>126</v>
      </c>
      <c r="K13" s="339" t="s">
        <v>121</v>
      </c>
      <c r="L13" s="339" t="s">
        <v>122</v>
      </c>
      <c r="M13" s="339" t="s">
        <v>123</v>
      </c>
      <c r="N13" s="339" t="s">
        <v>124</v>
      </c>
      <c r="O13" s="339" t="s">
        <v>125</v>
      </c>
      <c r="P13" s="70" t="s">
        <v>126</v>
      </c>
    </row>
    <row r="14" spans="1:16" ht="12" customHeight="1">
      <c r="A14" s="589" t="s">
        <v>300</v>
      </c>
      <c r="B14" s="340" t="s">
        <v>301</v>
      </c>
      <c r="C14" s="340">
        <v>1</v>
      </c>
      <c r="D14" s="341" t="s">
        <v>37</v>
      </c>
      <c r="E14" s="340"/>
      <c r="F14" s="433"/>
      <c r="G14" s="340"/>
      <c r="H14" s="340">
        <v>1</v>
      </c>
      <c r="I14" s="340">
        <v>1.3</v>
      </c>
      <c r="J14" s="346">
        <f>+E14*F14*G14*H14*I14</f>
        <v>0</v>
      </c>
      <c r="K14" s="340"/>
      <c r="L14" s="433"/>
      <c r="M14" s="340"/>
      <c r="N14" s="340">
        <v>0.9</v>
      </c>
      <c r="O14" s="340">
        <v>1.3</v>
      </c>
      <c r="P14" s="81">
        <f>+K14*L14*M14*N14*O14</f>
        <v>0</v>
      </c>
    </row>
    <row r="15" spans="1:16" ht="12" customHeight="1">
      <c r="A15" s="590"/>
      <c r="B15" s="340" t="s">
        <v>302</v>
      </c>
      <c r="C15" s="340">
        <v>2</v>
      </c>
      <c r="D15" s="350" t="s">
        <v>40</v>
      </c>
      <c r="E15" s="340"/>
      <c r="F15" s="433"/>
      <c r="G15" s="340"/>
      <c r="H15" s="340">
        <v>1</v>
      </c>
      <c r="I15" s="340">
        <v>1.3</v>
      </c>
      <c r="J15" s="346">
        <f t="shared" ref="J15:J21" si="0">+E15*F15*G15*H15*I15</f>
        <v>0</v>
      </c>
      <c r="K15" s="340"/>
      <c r="L15" s="433"/>
      <c r="M15" s="340"/>
      <c r="N15" s="340">
        <v>0.9</v>
      </c>
      <c r="O15" s="340">
        <v>1.3</v>
      </c>
      <c r="P15" s="81">
        <f t="shared" ref="P15:P33" si="1">+K15*L15*M15*N15*O15</f>
        <v>0</v>
      </c>
    </row>
    <row r="16" spans="1:16" ht="12" customHeight="1">
      <c r="A16" s="590"/>
      <c r="B16" s="340" t="s">
        <v>303</v>
      </c>
      <c r="C16" s="340">
        <v>3</v>
      </c>
      <c r="D16" s="350" t="s">
        <v>40</v>
      </c>
      <c r="E16" s="340"/>
      <c r="F16" s="433"/>
      <c r="G16" s="340"/>
      <c r="H16" s="340">
        <v>1</v>
      </c>
      <c r="I16" s="340">
        <v>1.3</v>
      </c>
      <c r="J16" s="346">
        <f t="shared" si="0"/>
        <v>0</v>
      </c>
      <c r="K16" s="340"/>
      <c r="L16" s="433"/>
      <c r="M16" s="340"/>
      <c r="N16" s="340">
        <v>0.9</v>
      </c>
      <c r="O16" s="340">
        <v>1.3</v>
      </c>
      <c r="P16" s="81">
        <f t="shared" si="1"/>
        <v>0</v>
      </c>
    </row>
    <row r="17" spans="1:16" ht="12" customHeight="1">
      <c r="A17" s="590"/>
      <c r="B17" s="340" t="s">
        <v>304</v>
      </c>
      <c r="C17" s="340">
        <v>4</v>
      </c>
      <c r="D17" s="350" t="s">
        <v>40</v>
      </c>
      <c r="E17" s="340"/>
      <c r="F17" s="433"/>
      <c r="G17" s="340"/>
      <c r="H17" s="340">
        <v>1</v>
      </c>
      <c r="I17" s="340">
        <v>1.3</v>
      </c>
      <c r="J17" s="346">
        <f t="shared" si="0"/>
        <v>0</v>
      </c>
      <c r="K17" s="340"/>
      <c r="L17" s="433"/>
      <c r="M17" s="340"/>
      <c r="N17" s="340">
        <v>0.9</v>
      </c>
      <c r="O17" s="340">
        <v>1.3</v>
      </c>
      <c r="P17" s="81">
        <f t="shared" si="1"/>
        <v>0</v>
      </c>
    </row>
    <row r="18" spans="1:16" ht="12" customHeight="1">
      <c r="A18" s="590"/>
      <c r="B18" s="340" t="s">
        <v>305</v>
      </c>
      <c r="C18" s="340">
        <v>5</v>
      </c>
      <c r="D18" s="341" t="s">
        <v>37</v>
      </c>
      <c r="E18" s="340"/>
      <c r="F18" s="434"/>
      <c r="G18" s="340"/>
      <c r="H18" s="435">
        <v>1</v>
      </c>
      <c r="I18" s="435">
        <v>1.3</v>
      </c>
      <c r="J18" s="436">
        <f t="shared" si="0"/>
        <v>0</v>
      </c>
      <c r="K18" s="340"/>
      <c r="L18" s="433"/>
      <c r="M18" s="340"/>
      <c r="N18" s="340">
        <v>0.9</v>
      </c>
      <c r="O18" s="340">
        <v>1.3</v>
      </c>
      <c r="P18" s="81">
        <f t="shared" ref="P18:P32" si="2">+K18*L18*M18*N18*O18</f>
        <v>0</v>
      </c>
    </row>
    <row r="19" spans="1:16" ht="12" customHeight="1">
      <c r="A19" s="590"/>
      <c r="B19" s="340" t="s">
        <v>306</v>
      </c>
      <c r="C19" s="340">
        <v>6</v>
      </c>
      <c r="D19" s="341" t="s">
        <v>37</v>
      </c>
      <c r="E19" s="340"/>
      <c r="F19" s="434"/>
      <c r="G19" s="340"/>
      <c r="H19" s="437">
        <v>1</v>
      </c>
      <c r="I19" s="437">
        <v>1.3</v>
      </c>
      <c r="J19" s="436">
        <f t="shared" si="0"/>
        <v>0</v>
      </c>
      <c r="K19" s="340"/>
      <c r="L19" s="433"/>
      <c r="M19" s="340"/>
      <c r="N19" s="340">
        <v>0.9</v>
      </c>
      <c r="O19" s="340">
        <v>1.3</v>
      </c>
      <c r="P19" s="81">
        <f t="shared" si="2"/>
        <v>0</v>
      </c>
    </row>
    <row r="20" spans="1:16" ht="12" customHeight="1">
      <c r="A20" s="590"/>
      <c r="B20" s="340" t="s">
        <v>307</v>
      </c>
      <c r="C20" s="340">
        <v>7</v>
      </c>
      <c r="D20" s="341" t="s">
        <v>37</v>
      </c>
      <c r="E20" s="340"/>
      <c r="F20" s="434"/>
      <c r="G20" s="340"/>
      <c r="H20" s="435">
        <v>1</v>
      </c>
      <c r="I20" s="435">
        <v>1.3</v>
      </c>
      <c r="J20" s="436">
        <f t="shared" si="0"/>
        <v>0</v>
      </c>
      <c r="K20" s="340"/>
      <c r="L20" s="433"/>
      <c r="M20" s="340"/>
      <c r="N20" s="340">
        <v>0.9</v>
      </c>
      <c r="O20" s="340">
        <v>1.3</v>
      </c>
      <c r="P20" s="81">
        <f t="shared" si="2"/>
        <v>0</v>
      </c>
    </row>
    <row r="21" spans="1:16" ht="12" customHeight="1">
      <c r="A21" s="590"/>
      <c r="B21" s="340" t="s">
        <v>308</v>
      </c>
      <c r="C21" s="340">
        <v>8</v>
      </c>
      <c r="D21" s="350" t="s">
        <v>40</v>
      </c>
      <c r="E21" s="340"/>
      <c r="F21" s="433"/>
      <c r="G21" s="340"/>
      <c r="H21" s="340">
        <v>1</v>
      </c>
      <c r="I21" s="340">
        <v>1.3</v>
      </c>
      <c r="J21" s="346">
        <f t="shared" si="0"/>
        <v>0</v>
      </c>
      <c r="K21" s="340"/>
      <c r="L21" s="433"/>
      <c r="M21" s="340"/>
      <c r="N21" s="340">
        <v>0.9</v>
      </c>
      <c r="O21" s="340">
        <v>1.3</v>
      </c>
      <c r="P21" s="81">
        <f t="shared" si="2"/>
        <v>0</v>
      </c>
    </row>
    <row r="22" spans="1:16" ht="12" customHeight="1">
      <c r="A22" s="590"/>
      <c r="B22" s="340" t="s">
        <v>309</v>
      </c>
      <c r="C22" s="340">
        <v>9</v>
      </c>
      <c r="D22" s="350" t="s">
        <v>40</v>
      </c>
      <c r="E22" s="340"/>
      <c r="F22" s="433"/>
      <c r="G22" s="340"/>
      <c r="H22" s="340">
        <v>1</v>
      </c>
      <c r="I22" s="340">
        <v>1.3</v>
      </c>
      <c r="J22" s="346">
        <f t="shared" ref="J22:J33" si="3">+E22*F22*G22*H22*I22</f>
        <v>0</v>
      </c>
      <c r="K22" s="340"/>
      <c r="L22" s="433"/>
      <c r="M22" s="340"/>
      <c r="N22" s="340">
        <v>0.9</v>
      </c>
      <c r="O22" s="340">
        <v>1.3</v>
      </c>
      <c r="P22" s="81">
        <f t="shared" si="2"/>
        <v>0</v>
      </c>
    </row>
    <row r="23" spans="1:16" ht="12" customHeight="1">
      <c r="A23" s="590"/>
      <c r="B23" s="340" t="s">
        <v>310</v>
      </c>
      <c r="C23" s="340">
        <v>10</v>
      </c>
      <c r="D23" s="356" t="s">
        <v>41</v>
      </c>
      <c r="E23" s="340"/>
      <c r="F23" s="433"/>
      <c r="G23" s="340"/>
      <c r="H23" s="340">
        <v>1</v>
      </c>
      <c r="I23" s="340">
        <v>1.3</v>
      </c>
      <c r="J23" s="346">
        <f t="shared" si="3"/>
        <v>0</v>
      </c>
      <c r="K23" s="340"/>
      <c r="L23" s="433"/>
      <c r="M23" s="340"/>
      <c r="N23" s="340">
        <v>0.9</v>
      </c>
      <c r="O23" s="340">
        <v>1.3</v>
      </c>
      <c r="P23" s="81">
        <f t="shared" si="2"/>
        <v>0</v>
      </c>
    </row>
    <row r="24" spans="1:16" ht="12" customHeight="1">
      <c r="A24" s="590"/>
      <c r="B24" s="340" t="s">
        <v>311</v>
      </c>
      <c r="C24" s="340">
        <v>11</v>
      </c>
      <c r="D24" s="350" t="s">
        <v>40</v>
      </c>
      <c r="E24" s="340"/>
      <c r="F24" s="433"/>
      <c r="G24" s="340"/>
      <c r="H24" s="340">
        <v>1</v>
      </c>
      <c r="I24" s="340">
        <v>1.3</v>
      </c>
      <c r="J24" s="346">
        <f t="shared" si="3"/>
        <v>0</v>
      </c>
      <c r="K24" s="340"/>
      <c r="L24" s="433"/>
      <c r="M24" s="340"/>
      <c r="N24" s="340">
        <v>0.9</v>
      </c>
      <c r="O24" s="340">
        <v>1.3</v>
      </c>
      <c r="P24" s="81">
        <f t="shared" si="2"/>
        <v>0</v>
      </c>
    </row>
    <row r="25" spans="1:16" ht="12" customHeight="1">
      <c r="A25" s="590"/>
      <c r="B25" s="340" t="s">
        <v>312</v>
      </c>
      <c r="C25" s="340">
        <v>12</v>
      </c>
      <c r="D25" s="350" t="s">
        <v>40</v>
      </c>
      <c r="E25" s="340"/>
      <c r="F25" s="438"/>
      <c r="G25" s="340"/>
      <c r="H25" s="340">
        <v>1</v>
      </c>
      <c r="I25" s="340">
        <v>1.3</v>
      </c>
      <c r="J25" s="346">
        <f t="shared" si="3"/>
        <v>0</v>
      </c>
      <c r="K25" s="340"/>
      <c r="L25" s="433"/>
      <c r="M25" s="340"/>
      <c r="N25" s="340">
        <v>0.9</v>
      </c>
      <c r="O25" s="340">
        <v>1.3</v>
      </c>
      <c r="P25" s="81">
        <f t="shared" si="2"/>
        <v>0</v>
      </c>
    </row>
    <row r="26" spans="1:16" ht="12" customHeight="1">
      <c r="A26" s="590"/>
      <c r="B26" s="340" t="s">
        <v>313</v>
      </c>
      <c r="C26" s="340">
        <v>13</v>
      </c>
      <c r="D26" s="356" t="s">
        <v>41</v>
      </c>
      <c r="E26" s="340"/>
      <c r="F26" s="433"/>
      <c r="G26" s="340"/>
      <c r="H26" s="340">
        <v>1</v>
      </c>
      <c r="I26" s="340">
        <v>1.3</v>
      </c>
      <c r="J26" s="346">
        <f t="shared" si="3"/>
        <v>0</v>
      </c>
      <c r="K26" s="340"/>
      <c r="L26" s="433"/>
      <c r="M26" s="340"/>
      <c r="N26" s="340">
        <v>0.9</v>
      </c>
      <c r="O26" s="340">
        <v>1.3</v>
      </c>
      <c r="P26" s="81">
        <f t="shared" si="2"/>
        <v>0</v>
      </c>
    </row>
    <row r="27" spans="1:16" ht="12" customHeight="1">
      <c r="A27" s="590"/>
      <c r="B27" s="340" t="s">
        <v>314</v>
      </c>
      <c r="C27" s="340">
        <v>14</v>
      </c>
      <c r="D27" s="356" t="s">
        <v>41</v>
      </c>
      <c r="E27" s="340"/>
      <c r="F27" s="433"/>
      <c r="G27" s="340"/>
      <c r="H27" s="340">
        <v>1</v>
      </c>
      <c r="I27" s="340">
        <v>1.3</v>
      </c>
      <c r="J27" s="346">
        <f t="shared" si="3"/>
        <v>0</v>
      </c>
      <c r="K27" s="340"/>
      <c r="L27" s="433"/>
      <c r="M27" s="340"/>
      <c r="N27" s="340">
        <v>0.9</v>
      </c>
      <c r="O27" s="340">
        <v>1.3</v>
      </c>
      <c r="P27" s="81">
        <f t="shared" si="2"/>
        <v>0</v>
      </c>
    </row>
    <row r="28" spans="1:16" ht="12" customHeight="1">
      <c r="A28" s="590"/>
      <c r="B28" s="340" t="s">
        <v>315</v>
      </c>
      <c r="C28" s="340">
        <v>15</v>
      </c>
      <c r="D28" s="356" t="s">
        <v>41</v>
      </c>
      <c r="E28" s="340"/>
      <c r="F28" s="433"/>
      <c r="G28" s="340"/>
      <c r="H28" s="340">
        <v>1</v>
      </c>
      <c r="I28" s="340">
        <v>1.3</v>
      </c>
      <c r="J28" s="346">
        <f t="shared" si="3"/>
        <v>0</v>
      </c>
      <c r="K28" s="340"/>
      <c r="L28" s="433"/>
      <c r="M28" s="340"/>
      <c r="N28" s="340">
        <v>0.9</v>
      </c>
      <c r="O28" s="340">
        <v>1.3</v>
      </c>
      <c r="P28" s="81">
        <f t="shared" si="2"/>
        <v>0</v>
      </c>
    </row>
    <row r="29" spans="1:16" ht="12" customHeight="1">
      <c r="A29" s="590"/>
      <c r="B29" s="340" t="s">
        <v>316</v>
      </c>
      <c r="C29" s="340">
        <v>16</v>
      </c>
      <c r="D29" s="356" t="s">
        <v>41</v>
      </c>
      <c r="E29" s="340"/>
      <c r="F29" s="433"/>
      <c r="G29" s="340"/>
      <c r="H29" s="340">
        <v>1</v>
      </c>
      <c r="I29" s="340">
        <v>1.3</v>
      </c>
      <c r="J29" s="346">
        <f t="shared" si="3"/>
        <v>0</v>
      </c>
      <c r="K29" s="340"/>
      <c r="L29" s="433"/>
      <c r="M29" s="340"/>
      <c r="N29" s="340">
        <v>0.9</v>
      </c>
      <c r="O29" s="340">
        <v>1.3</v>
      </c>
      <c r="P29" s="81">
        <f t="shared" si="2"/>
        <v>0</v>
      </c>
    </row>
    <row r="30" spans="1:16" ht="12" customHeight="1">
      <c r="A30" s="590"/>
      <c r="B30" s="340" t="s">
        <v>317</v>
      </c>
      <c r="C30" s="340">
        <v>17</v>
      </c>
      <c r="D30" s="356" t="s">
        <v>41</v>
      </c>
      <c r="E30" s="340"/>
      <c r="F30" s="433"/>
      <c r="G30" s="340"/>
      <c r="H30" s="340">
        <v>1</v>
      </c>
      <c r="I30" s="340">
        <v>1.3</v>
      </c>
      <c r="J30" s="346">
        <f t="shared" si="3"/>
        <v>0</v>
      </c>
      <c r="K30" s="340"/>
      <c r="L30" s="433"/>
      <c r="M30" s="340"/>
      <c r="N30" s="340">
        <v>0.9</v>
      </c>
      <c r="O30" s="340">
        <v>1.3</v>
      </c>
      <c r="P30" s="81">
        <f t="shared" si="2"/>
        <v>0</v>
      </c>
    </row>
    <row r="31" spans="1:16" ht="12" customHeight="1">
      <c r="A31" s="590"/>
      <c r="B31" s="340" t="s">
        <v>318</v>
      </c>
      <c r="C31" s="340">
        <v>18</v>
      </c>
      <c r="D31" s="356" t="s">
        <v>41</v>
      </c>
      <c r="E31" s="340"/>
      <c r="F31" s="433"/>
      <c r="G31" s="340"/>
      <c r="H31" s="340">
        <v>1</v>
      </c>
      <c r="I31" s="340">
        <v>1.3</v>
      </c>
      <c r="J31" s="346">
        <f t="shared" si="3"/>
        <v>0</v>
      </c>
      <c r="K31" s="340"/>
      <c r="L31" s="433"/>
      <c r="M31" s="340"/>
      <c r="N31" s="340">
        <v>0.9</v>
      </c>
      <c r="O31" s="340">
        <v>1.3</v>
      </c>
      <c r="P31" s="81">
        <f t="shared" si="2"/>
        <v>0</v>
      </c>
    </row>
    <row r="32" spans="1:16" ht="12" customHeight="1">
      <c r="A32" s="590"/>
      <c r="B32" s="340" t="s">
        <v>319</v>
      </c>
      <c r="C32" s="340">
        <v>19</v>
      </c>
      <c r="D32" s="340" t="s">
        <v>44</v>
      </c>
      <c r="E32" s="340"/>
      <c r="F32" s="433"/>
      <c r="G32" s="340"/>
      <c r="H32" s="340">
        <v>1</v>
      </c>
      <c r="I32" s="340">
        <v>1.3</v>
      </c>
      <c r="J32" s="346">
        <f>+E32*F32*G32*H32*I32</f>
        <v>0</v>
      </c>
      <c r="K32" s="340"/>
      <c r="L32" s="433"/>
      <c r="M32" s="340"/>
      <c r="N32" s="340">
        <v>0.9</v>
      </c>
      <c r="O32" s="340">
        <v>1.3</v>
      </c>
      <c r="P32" s="81">
        <f t="shared" si="2"/>
        <v>0</v>
      </c>
    </row>
    <row r="33" spans="1:16" ht="12" customHeight="1">
      <c r="A33" s="590"/>
      <c r="B33" s="340" t="s">
        <v>320</v>
      </c>
      <c r="C33" s="340">
        <v>20</v>
      </c>
      <c r="D33" s="356" t="s">
        <v>41</v>
      </c>
      <c r="E33" s="340"/>
      <c r="F33" s="433"/>
      <c r="G33" s="340"/>
      <c r="H33" s="340">
        <v>1</v>
      </c>
      <c r="I33" s="340">
        <v>1.3</v>
      </c>
      <c r="J33" s="346">
        <f t="shared" si="3"/>
        <v>0</v>
      </c>
      <c r="K33" s="340"/>
      <c r="L33" s="433"/>
      <c r="M33" s="340"/>
      <c r="N33" s="340">
        <v>0.9</v>
      </c>
      <c r="O33" s="340">
        <v>1.3</v>
      </c>
      <c r="P33" s="81">
        <f t="shared" si="1"/>
        <v>0</v>
      </c>
    </row>
    <row r="34" spans="1:16" ht="12" customHeight="1">
      <c r="A34" s="590"/>
      <c r="B34" s="340" t="s">
        <v>321</v>
      </c>
      <c r="C34" s="340">
        <v>21</v>
      </c>
      <c r="D34" s="356" t="s">
        <v>41</v>
      </c>
      <c r="E34" s="340"/>
      <c r="F34" s="433"/>
      <c r="G34" s="340"/>
      <c r="H34" s="340">
        <v>1</v>
      </c>
      <c r="I34" s="340">
        <v>1.3</v>
      </c>
      <c r="J34" s="346">
        <f t="shared" ref="J34:J35" si="4">+E34*F34*G34*H34*I34</f>
        <v>0</v>
      </c>
      <c r="K34" s="340"/>
      <c r="L34" s="433"/>
      <c r="M34" s="340"/>
      <c r="N34" s="340">
        <v>0.9</v>
      </c>
      <c r="O34" s="340">
        <v>1.3</v>
      </c>
      <c r="P34" s="81">
        <f t="shared" ref="P34:P35" si="5">+K34*L34*M34*N34*O34</f>
        <v>0</v>
      </c>
    </row>
    <row r="35" spans="1:16" ht="12" customHeight="1">
      <c r="A35" s="590"/>
      <c r="B35" s="340" t="s">
        <v>322</v>
      </c>
      <c r="C35" s="340">
        <v>22</v>
      </c>
      <c r="D35" s="356" t="s">
        <v>41</v>
      </c>
      <c r="E35" s="340"/>
      <c r="F35" s="433"/>
      <c r="G35" s="340"/>
      <c r="H35" s="340">
        <v>1</v>
      </c>
      <c r="I35" s="340">
        <v>1.3</v>
      </c>
      <c r="J35" s="346">
        <f t="shared" si="4"/>
        <v>0</v>
      </c>
      <c r="K35" s="340"/>
      <c r="L35" s="433"/>
      <c r="M35" s="340"/>
      <c r="N35" s="340">
        <v>0.9</v>
      </c>
      <c r="O35" s="340">
        <v>1.3</v>
      </c>
      <c r="P35" s="81">
        <f t="shared" si="5"/>
        <v>0</v>
      </c>
    </row>
    <row r="36" spans="1:16" ht="12" customHeight="1">
      <c r="A36" s="591"/>
      <c r="B36" s="593" t="s">
        <v>36</v>
      </c>
      <c r="C36" s="594"/>
      <c r="D36" s="595"/>
      <c r="E36" s="232"/>
      <c r="F36" s="317"/>
      <c r="G36" s="232"/>
      <c r="H36" s="232"/>
      <c r="I36" s="232"/>
      <c r="J36" s="346">
        <f>SUM(J14:J35)</f>
        <v>0</v>
      </c>
      <c r="K36" s="346"/>
      <c r="L36" s="317"/>
      <c r="M36" s="346"/>
      <c r="N36" s="346"/>
      <c r="O36" s="346"/>
      <c r="P36" s="81">
        <f>SUM(P14:P35)</f>
        <v>0</v>
      </c>
    </row>
    <row r="37" spans="1:16" ht="12" customHeight="1">
      <c r="A37" s="589" t="s">
        <v>323</v>
      </c>
      <c r="B37" s="340" t="s">
        <v>301</v>
      </c>
      <c r="C37" s="364">
        <v>1</v>
      </c>
      <c r="D37" s="356" t="s">
        <v>41</v>
      </c>
      <c r="E37" s="340"/>
      <c r="F37" s="434"/>
      <c r="G37" s="340"/>
      <c r="H37" s="340">
        <v>1</v>
      </c>
      <c r="I37" s="340">
        <v>1.3</v>
      </c>
      <c r="J37" s="346">
        <f t="shared" ref="J37:J40" si="6">+E37*F37*G37*H37*I37</f>
        <v>0</v>
      </c>
      <c r="K37" s="340"/>
      <c r="L37" s="370"/>
      <c r="M37" s="340"/>
      <c r="N37" s="340">
        <v>0.9</v>
      </c>
      <c r="O37" s="340">
        <v>1.3</v>
      </c>
      <c r="P37" s="81">
        <f t="shared" ref="P37:P62" si="7">+K37*L37*M37*N37*O37</f>
        <v>0</v>
      </c>
    </row>
    <row r="38" spans="1:16" ht="12" customHeight="1">
      <c r="A38" s="590"/>
      <c r="B38" s="340" t="s">
        <v>302</v>
      </c>
      <c r="C38" s="364">
        <v>2</v>
      </c>
      <c r="D38" s="356" t="s">
        <v>41</v>
      </c>
      <c r="E38" s="340"/>
      <c r="F38" s="434"/>
      <c r="G38" s="340"/>
      <c r="H38" s="340">
        <v>1</v>
      </c>
      <c r="I38" s="340">
        <v>1.3</v>
      </c>
      <c r="J38" s="346">
        <f t="shared" ref="J38" si="8">+E38*F38*G38*H38*I38</f>
        <v>0</v>
      </c>
      <c r="K38" s="340"/>
      <c r="L38" s="370"/>
      <c r="M38" s="340"/>
      <c r="N38" s="340">
        <v>0.9</v>
      </c>
      <c r="O38" s="340">
        <v>1.3</v>
      </c>
      <c r="P38" s="81">
        <f t="shared" ref="P38" si="9">+K38*L38*M38*N38*O38</f>
        <v>0</v>
      </c>
    </row>
    <row r="39" spans="1:16" ht="12" customHeight="1">
      <c r="A39" s="590"/>
      <c r="B39" s="340" t="s">
        <v>303</v>
      </c>
      <c r="C39" s="364">
        <v>3</v>
      </c>
      <c r="D39" s="341" t="s">
        <v>37</v>
      </c>
      <c r="E39" s="340"/>
      <c r="F39" s="434"/>
      <c r="G39" s="340"/>
      <c r="H39" s="437">
        <v>1</v>
      </c>
      <c r="I39" s="437">
        <v>1.3</v>
      </c>
      <c r="J39" s="436">
        <f t="shared" si="6"/>
        <v>0</v>
      </c>
      <c r="K39" s="340"/>
      <c r="L39" s="370"/>
      <c r="M39" s="340"/>
      <c r="N39" s="437">
        <v>0.9</v>
      </c>
      <c r="O39" s="437">
        <v>1.3</v>
      </c>
      <c r="P39" s="202">
        <f t="shared" si="7"/>
        <v>0</v>
      </c>
    </row>
    <row r="40" spans="1:16" ht="12" customHeight="1">
      <c r="A40" s="590"/>
      <c r="B40" s="340" t="s">
        <v>304</v>
      </c>
      <c r="C40" s="364">
        <v>4</v>
      </c>
      <c r="D40" s="350" t="s">
        <v>40</v>
      </c>
      <c r="E40" s="352"/>
      <c r="F40" s="439"/>
      <c r="G40" s="352"/>
      <c r="H40" s="437">
        <v>1</v>
      </c>
      <c r="I40" s="437">
        <v>1.3</v>
      </c>
      <c r="J40" s="436">
        <f t="shared" si="6"/>
        <v>0</v>
      </c>
      <c r="K40" s="352"/>
      <c r="L40" s="352"/>
      <c r="M40" s="352"/>
      <c r="N40" s="437">
        <v>0.9</v>
      </c>
      <c r="O40" s="437">
        <v>1.3</v>
      </c>
      <c r="P40" s="202">
        <f t="shared" si="7"/>
        <v>0</v>
      </c>
    </row>
    <row r="41" spans="1:16" ht="12" customHeight="1">
      <c r="A41" s="590"/>
      <c r="B41" s="340" t="s">
        <v>305</v>
      </c>
      <c r="C41" s="364">
        <v>5</v>
      </c>
      <c r="D41" s="350" t="s">
        <v>40</v>
      </c>
      <c r="E41" s="352"/>
      <c r="F41" s="439"/>
      <c r="G41" s="352"/>
      <c r="H41" s="437">
        <v>1</v>
      </c>
      <c r="I41" s="437">
        <v>1.3</v>
      </c>
      <c r="J41" s="436">
        <f>+E41*F41*G41*H41*I41</f>
        <v>0</v>
      </c>
      <c r="K41" s="352"/>
      <c r="L41" s="352"/>
      <c r="M41" s="352"/>
      <c r="N41" s="437">
        <v>0.9</v>
      </c>
      <c r="O41" s="437">
        <v>1.3</v>
      </c>
      <c r="P41" s="202">
        <f t="shared" si="7"/>
        <v>0</v>
      </c>
    </row>
    <row r="42" spans="1:16" ht="12" customHeight="1">
      <c r="A42" s="590"/>
      <c r="B42" s="340" t="s">
        <v>306</v>
      </c>
      <c r="C42" s="364">
        <v>6</v>
      </c>
      <c r="D42" s="341" t="s">
        <v>37</v>
      </c>
      <c r="E42" s="352"/>
      <c r="F42" s="439"/>
      <c r="G42" s="352"/>
      <c r="H42" s="437">
        <v>1</v>
      </c>
      <c r="I42" s="437">
        <v>1.3</v>
      </c>
      <c r="J42" s="436">
        <f t="shared" ref="J42:J62" si="10">+E42*F42*G42*H42*I42</f>
        <v>0</v>
      </c>
      <c r="K42" s="352"/>
      <c r="L42" s="352"/>
      <c r="M42" s="352"/>
      <c r="N42" s="437">
        <v>0.9</v>
      </c>
      <c r="O42" s="437">
        <v>1.3</v>
      </c>
      <c r="P42" s="202">
        <f t="shared" si="7"/>
        <v>0</v>
      </c>
    </row>
    <row r="43" spans="1:16" ht="12" customHeight="1">
      <c r="A43" s="590"/>
      <c r="B43" s="340" t="s">
        <v>307</v>
      </c>
      <c r="C43" s="364">
        <v>7</v>
      </c>
      <c r="D43" s="350" t="s">
        <v>40</v>
      </c>
      <c r="E43" s="352"/>
      <c r="F43" s="439"/>
      <c r="G43" s="352"/>
      <c r="H43" s="437">
        <v>1</v>
      </c>
      <c r="I43" s="437">
        <v>1.3</v>
      </c>
      <c r="J43" s="436">
        <f t="shared" si="10"/>
        <v>0</v>
      </c>
      <c r="K43" s="352"/>
      <c r="L43" s="352"/>
      <c r="M43" s="352"/>
      <c r="N43" s="437">
        <v>0.9</v>
      </c>
      <c r="O43" s="437">
        <v>1.3</v>
      </c>
      <c r="P43" s="202">
        <f t="shared" si="7"/>
        <v>0</v>
      </c>
    </row>
    <row r="44" spans="1:16" ht="12" customHeight="1">
      <c r="A44" s="590"/>
      <c r="B44" s="340" t="s">
        <v>308</v>
      </c>
      <c r="C44" s="364">
        <v>8</v>
      </c>
      <c r="D44" s="341" t="s">
        <v>37</v>
      </c>
      <c r="E44" s="352"/>
      <c r="F44" s="439"/>
      <c r="G44" s="352"/>
      <c r="H44" s="437">
        <v>1</v>
      </c>
      <c r="I44" s="437">
        <v>1.3</v>
      </c>
      <c r="J44" s="436">
        <f t="shared" si="10"/>
        <v>0</v>
      </c>
      <c r="K44" s="352"/>
      <c r="L44" s="352"/>
      <c r="M44" s="352"/>
      <c r="N44" s="437">
        <v>0.9</v>
      </c>
      <c r="O44" s="437">
        <v>1.3</v>
      </c>
      <c r="P44" s="202">
        <f t="shared" si="7"/>
        <v>0</v>
      </c>
    </row>
    <row r="45" spans="1:16" ht="12" customHeight="1">
      <c r="A45" s="590"/>
      <c r="B45" s="340" t="s">
        <v>309</v>
      </c>
      <c r="C45" s="364">
        <v>9</v>
      </c>
      <c r="D45" s="350" t="s">
        <v>40</v>
      </c>
      <c r="E45" s="352"/>
      <c r="F45" s="439"/>
      <c r="G45" s="352"/>
      <c r="H45" s="437">
        <v>1</v>
      </c>
      <c r="I45" s="437">
        <v>1.3</v>
      </c>
      <c r="J45" s="436">
        <f t="shared" si="10"/>
        <v>0</v>
      </c>
      <c r="K45" s="352"/>
      <c r="L45" s="352"/>
      <c r="M45" s="352"/>
      <c r="N45" s="437">
        <v>0.9</v>
      </c>
      <c r="O45" s="437">
        <v>1.3</v>
      </c>
      <c r="P45" s="202">
        <f t="shared" si="7"/>
        <v>0</v>
      </c>
    </row>
    <row r="46" spans="1:16" ht="12" customHeight="1">
      <c r="A46" s="590"/>
      <c r="B46" s="340" t="s">
        <v>310</v>
      </c>
      <c r="C46" s="364">
        <v>10</v>
      </c>
      <c r="D46" s="350" t="s">
        <v>40</v>
      </c>
      <c r="E46" s="352"/>
      <c r="F46" s="439"/>
      <c r="G46" s="352"/>
      <c r="H46" s="437">
        <v>1</v>
      </c>
      <c r="I46" s="437">
        <v>1.3</v>
      </c>
      <c r="J46" s="436">
        <f t="shared" si="10"/>
        <v>0</v>
      </c>
      <c r="K46" s="352"/>
      <c r="L46" s="352"/>
      <c r="M46" s="352"/>
      <c r="N46" s="437">
        <v>0.9</v>
      </c>
      <c r="O46" s="437">
        <v>1.3</v>
      </c>
      <c r="P46" s="202">
        <f t="shared" si="7"/>
        <v>0</v>
      </c>
    </row>
    <row r="47" spans="1:16" ht="12" customHeight="1">
      <c r="A47" s="590"/>
      <c r="B47" s="340" t="s">
        <v>311</v>
      </c>
      <c r="C47" s="364">
        <v>11</v>
      </c>
      <c r="D47" s="356" t="s">
        <v>41</v>
      </c>
      <c r="E47" s="352"/>
      <c r="F47" s="439"/>
      <c r="G47" s="352"/>
      <c r="H47" s="437">
        <v>1</v>
      </c>
      <c r="I47" s="437">
        <v>1.3</v>
      </c>
      <c r="J47" s="436">
        <f t="shared" si="10"/>
        <v>0</v>
      </c>
      <c r="K47" s="352"/>
      <c r="L47" s="352"/>
      <c r="M47" s="352"/>
      <c r="N47" s="437">
        <v>0.9</v>
      </c>
      <c r="O47" s="437">
        <v>1.3</v>
      </c>
      <c r="P47" s="202">
        <f t="shared" si="7"/>
        <v>0</v>
      </c>
    </row>
    <row r="48" spans="1:16" ht="12" customHeight="1">
      <c r="A48" s="590"/>
      <c r="B48" s="340" t="s">
        <v>312</v>
      </c>
      <c r="C48" s="364">
        <v>12</v>
      </c>
      <c r="D48" s="356" t="s">
        <v>41</v>
      </c>
      <c r="E48" s="352"/>
      <c r="F48" s="439"/>
      <c r="G48" s="352"/>
      <c r="H48" s="437">
        <v>1</v>
      </c>
      <c r="I48" s="437">
        <v>1.3</v>
      </c>
      <c r="J48" s="436">
        <f t="shared" si="10"/>
        <v>0</v>
      </c>
      <c r="K48" s="352"/>
      <c r="L48" s="352"/>
      <c r="M48" s="352"/>
      <c r="N48" s="437">
        <v>0.9</v>
      </c>
      <c r="O48" s="437">
        <v>1.3</v>
      </c>
      <c r="P48" s="202">
        <f t="shared" si="7"/>
        <v>0</v>
      </c>
    </row>
    <row r="49" spans="1:16" ht="12" customHeight="1">
      <c r="A49" s="590"/>
      <c r="B49" s="340" t="s">
        <v>314</v>
      </c>
      <c r="C49" s="364">
        <v>13</v>
      </c>
      <c r="D49" s="356" t="s">
        <v>41</v>
      </c>
      <c r="E49" s="352"/>
      <c r="F49" s="439"/>
      <c r="G49" s="352"/>
      <c r="H49" s="437">
        <v>1</v>
      </c>
      <c r="I49" s="437">
        <v>1.3</v>
      </c>
      <c r="J49" s="436">
        <f t="shared" si="10"/>
        <v>0</v>
      </c>
      <c r="K49" s="352"/>
      <c r="L49" s="352"/>
      <c r="M49" s="352"/>
      <c r="N49" s="437">
        <v>0.9</v>
      </c>
      <c r="O49" s="437">
        <v>1.3</v>
      </c>
      <c r="P49" s="202">
        <f t="shared" si="7"/>
        <v>0</v>
      </c>
    </row>
    <row r="50" spans="1:16" ht="12" customHeight="1">
      <c r="A50" s="590"/>
      <c r="B50" s="340" t="s">
        <v>315</v>
      </c>
      <c r="C50" s="364">
        <v>14</v>
      </c>
      <c r="D50" s="356" t="s">
        <v>41</v>
      </c>
      <c r="E50" s="352"/>
      <c r="F50" s="439"/>
      <c r="G50" s="352"/>
      <c r="H50" s="437">
        <v>1</v>
      </c>
      <c r="I50" s="437">
        <v>1.3</v>
      </c>
      <c r="J50" s="436">
        <f t="shared" si="10"/>
        <v>0</v>
      </c>
      <c r="K50" s="352"/>
      <c r="L50" s="352"/>
      <c r="M50" s="352"/>
      <c r="N50" s="437">
        <v>0.9</v>
      </c>
      <c r="O50" s="437">
        <v>1.3</v>
      </c>
      <c r="P50" s="202">
        <f t="shared" si="7"/>
        <v>0</v>
      </c>
    </row>
    <row r="51" spans="1:16" ht="12" customHeight="1">
      <c r="A51" s="590"/>
      <c r="B51" s="340" t="s">
        <v>324</v>
      </c>
      <c r="C51" s="364">
        <v>15</v>
      </c>
      <c r="D51" s="340" t="s">
        <v>44</v>
      </c>
      <c r="E51" s="352">
        <v>150</v>
      </c>
      <c r="F51" s="439">
        <v>1.2</v>
      </c>
      <c r="G51" s="352">
        <v>1.5</v>
      </c>
      <c r="H51" s="437">
        <v>1</v>
      </c>
      <c r="I51" s="437">
        <v>1.3</v>
      </c>
      <c r="J51" s="436">
        <f>+E51*F51*G51*H51*I51</f>
        <v>351</v>
      </c>
      <c r="K51" s="352">
        <v>150</v>
      </c>
      <c r="L51" s="352">
        <v>1.2</v>
      </c>
      <c r="M51" s="352">
        <v>2</v>
      </c>
      <c r="N51" s="437">
        <v>0.9</v>
      </c>
      <c r="O51" s="437">
        <v>1.3</v>
      </c>
      <c r="P51" s="202">
        <f>+K51*L51*M51*N51*O51</f>
        <v>421.2</v>
      </c>
    </row>
    <row r="52" spans="1:16" ht="12" customHeight="1">
      <c r="A52" s="590"/>
      <c r="B52" s="340" t="s">
        <v>317</v>
      </c>
      <c r="C52" s="364">
        <v>16</v>
      </c>
      <c r="D52" s="340" t="s">
        <v>44</v>
      </c>
      <c r="E52" s="352">
        <v>40</v>
      </c>
      <c r="F52" s="439">
        <v>0.8</v>
      </c>
      <c r="G52" s="352">
        <v>1.2</v>
      </c>
      <c r="H52" s="437">
        <v>1</v>
      </c>
      <c r="I52" s="437">
        <v>1.3</v>
      </c>
      <c r="J52" s="436">
        <f>+E52*F52*G52*H52*I52</f>
        <v>49.92</v>
      </c>
      <c r="K52" s="352">
        <v>0</v>
      </c>
      <c r="L52" s="352">
        <v>2</v>
      </c>
      <c r="M52" s="352">
        <v>0</v>
      </c>
      <c r="N52" s="437">
        <v>0.9</v>
      </c>
      <c r="O52" s="437">
        <v>1.3</v>
      </c>
      <c r="P52" s="202">
        <f t="shared" si="7"/>
        <v>0</v>
      </c>
    </row>
    <row r="53" spans="1:16" ht="12" customHeight="1">
      <c r="A53" s="590"/>
      <c r="B53" s="340" t="s">
        <v>318</v>
      </c>
      <c r="C53" s="364">
        <v>17</v>
      </c>
      <c r="D53" s="356" t="s">
        <v>41</v>
      </c>
      <c r="E53" s="352">
        <v>0</v>
      </c>
      <c r="F53" s="439">
        <v>1.6</v>
      </c>
      <c r="G53" s="352">
        <v>0</v>
      </c>
      <c r="H53" s="437">
        <v>1</v>
      </c>
      <c r="I53" s="437">
        <v>1.3</v>
      </c>
      <c r="J53" s="436">
        <f t="shared" si="10"/>
        <v>0</v>
      </c>
      <c r="K53" s="352">
        <v>0</v>
      </c>
      <c r="L53" s="352">
        <v>2.5</v>
      </c>
      <c r="M53" s="352">
        <v>0</v>
      </c>
      <c r="N53" s="437">
        <v>0.9</v>
      </c>
      <c r="O53" s="437">
        <v>1.3</v>
      </c>
      <c r="P53" s="202">
        <f t="shared" si="7"/>
        <v>0</v>
      </c>
    </row>
    <row r="54" spans="1:16" ht="12" customHeight="1">
      <c r="A54" s="590"/>
      <c r="B54" s="340" t="s">
        <v>319</v>
      </c>
      <c r="C54" s="364">
        <v>18</v>
      </c>
      <c r="D54" s="356" t="s">
        <v>41</v>
      </c>
      <c r="E54" s="352">
        <v>0</v>
      </c>
      <c r="F54" s="439">
        <v>5</v>
      </c>
      <c r="G54" s="352">
        <v>2</v>
      </c>
      <c r="H54" s="437">
        <v>1</v>
      </c>
      <c r="I54" s="437">
        <v>1.3</v>
      </c>
      <c r="J54" s="436">
        <f t="shared" si="10"/>
        <v>0</v>
      </c>
      <c r="K54" s="352">
        <v>0</v>
      </c>
      <c r="L54" s="352">
        <v>5</v>
      </c>
      <c r="M54" s="352">
        <v>0</v>
      </c>
      <c r="N54" s="437">
        <v>0.9</v>
      </c>
      <c r="O54" s="437">
        <v>1.3</v>
      </c>
      <c r="P54" s="202">
        <f t="shared" si="7"/>
        <v>0</v>
      </c>
    </row>
    <row r="55" spans="1:16" ht="12" customHeight="1">
      <c r="A55" s="590"/>
      <c r="B55" s="340" t="s">
        <v>320</v>
      </c>
      <c r="C55" s="364">
        <v>19</v>
      </c>
      <c r="D55" s="356" t="s">
        <v>41</v>
      </c>
      <c r="E55" s="352">
        <v>0</v>
      </c>
      <c r="F55" s="439">
        <v>4.5</v>
      </c>
      <c r="G55" s="352">
        <v>0</v>
      </c>
      <c r="H55" s="440">
        <v>1</v>
      </c>
      <c r="I55" s="440">
        <v>1.3</v>
      </c>
      <c r="J55" s="436">
        <f t="shared" si="10"/>
        <v>0</v>
      </c>
      <c r="K55" s="352">
        <v>0</v>
      </c>
      <c r="L55" s="352">
        <v>4</v>
      </c>
      <c r="M55" s="352">
        <v>0</v>
      </c>
      <c r="N55" s="440">
        <v>0.9</v>
      </c>
      <c r="O55" s="440">
        <v>1.3</v>
      </c>
      <c r="P55" s="203">
        <f t="shared" si="7"/>
        <v>0</v>
      </c>
    </row>
    <row r="56" spans="1:16" ht="12" customHeight="1">
      <c r="A56" s="590"/>
      <c r="B56" s="340" t="s">
        <v>321</v>
      </c>
      <c r="C56" s="364">
        <v>20</v>
      </c>
      <c r="D56" s="356" t="s">
        <v>41</v>
      </c>
      <c r="E56" s="352">
        <v>0</v>
      </c>
      <c r="F56" s="439">
        <v>2</v>
      </c>
      <c r="G56" s="352">
        <v>0</v>
      </c>
      <c r="H56" s="437">
        <v>1</v>
      </c>
      <c r="I56" s="437">
        <v>1.3</v>
      </c>
      <c r="J56" s="436">
        <f t="shared" si="10"/>
        <v>0</v>
      </c>
      <c r="K56" s="352">
        <v>0</v>
      </c>
      <c r="L56" s="352">
        <v>1</v>
      </c>
      <c r="M56" s="352">
        <v>0</v>
      </c>
      <c r="N56" s="437">
        <v>0.9</v>
      </c>
      <c r="O56" s="437">
        <v>1.3</v>
      </c>
      <c r="P56" s="202">
        <f t="shared" si="7"/>
        <v>0</v>
      </c>
    </row>
    <row r="57" spans="1:16" ht="12" customHeight="1">
      <c r="A57" s="590"/>
      <c r="B57" s="340" t="s">
        <v>325</v>
      </c>
      <c r="C57" s="364">
        <v>21</v>
      </c>
      <c r="D57" s="356" t="s">
        <v>41</v>
      </c>
      <c r="E57" s="352">
        <v>0</v>
      </c>
      <c r="F57" s="439">
        <v>0.4</v>
      </c>
      <c r="G57" s="352">
        <v>0</v>
      </c>
      <c r="H57" s="437">
        <v>1</v>
      </c>
      <c r="I57" s="437">
        <v>1.3</v>
      </c>
      <c r="J57" s="436">
        <f t="shared" si="10"/>
        <v>0</v>
      </c>
      <c r="K57" s="352">
        <v>0</v>
      </c>
      <c r="L57" s="352">
        <v>0.4</v>
      </c>
      <c r="M57" s="352">
        <v>0</v>
      </c>
      <c r="N57" s="437">
        <v>0.9</v>
      </c>
      <c r="O57" s="437">
        <v>1.3</v>
      </c>
      <c r="P57" s="202">
        <f t="shared" si="7"/>
        <v>0</v>
      </c>
    </row>
    <row r="58" spans="1:16" ht="12" customHeight="1">
      <c r="A58" s="590"/>
      <c r="B58" s="340" t="s">
        <v>326</v>
      </c>
      <c r="C58" s="364">
        <v>22</v>
      </c>
      <c r="D58" s="356" t="s">
        <v>41</v>
      </c>
      <c r="E58" s="352">
        <v>0</v>
      </c>
      <c r="F58" s="439">
        <v>14</v>
      </c>
      <c r="G58" s="352">
        <v>0</v>
      </c>
      <c r="H58" s="437">
        <v>1</v>
      </c>
      <c r="I58" s="437">
        <v>1.3</v>
      </c>
      <c r="J58" s="436">
        <f t="shared" si="10"/>
        <v>0</v>
      </c>
      <c r="K58" s="352">
        <v>0</v>
      </c>
      <c r="L58" s="352">
        <v>14</v>
      </c>
      <c r="M58" s="352">
        <v>0</v>
      </c>
      <c r="N58" s="437">
        <v>0.9</v>
      </c>
      <c r="O58" s="437">
        <v>1.3</v>
      </c>
      <c r="P58" s="202">
        <f t="shared" si="7"/>
        <v>0</v>
      </c>
    </row>
    <row r="59" spans="1:16" ht="12" customHeight="1">
      <c r="A59" s="590"/>
      <c r="B59" s="340" t="s">
        <v>322</v>
      </c>
      <c r="C59" s="364">
        <v>23</v>
      </c>
      <c r="D59" s="356" t="s">
        <v>41</v>
      </c>
      <c r="E59" s="352">
        <v>0</v>
      </c>
      <c r="F59" s="439">
        <v>1.2</v>
      </c>
      <c r="G59" s="352">
        <v>0</v>
      </c>
      <c r="H59" s="437">
        <v>1</v>
      </c>
      <c r="I59" s="437">
        <v>1.3</v>
      </c>
      <c r="J59" s="436">
        <f t="shared" si="10"/>
        <v>0</v>
      </c>
      <c r="K59" s="352">
        <v>0</v>
      </c>
      <c r="L59" s="352">
        <v>1.2</v>
      </c>
      <c r="M59" s="352">
        <v>0</v>
      </c>
      <c r="N59" s="437">
        <v>0.9</v>
      </c>
      <c r="O59" s="437">
        <v>1.3</v>
      </c>
      <c r="P59" s="202">
        <f t="shared" si="7"/>
        <v>0</v>
      </c>
    </row>
    <row r="60" spans="1:16" ht="12" customHeight="1">
      <c r="A60" s="590"/>
      <c r="B60" s="340" t="s">
        <v>327</v>
      </c>
      <c r="C60" s="364">
        <v>24</v>
      </c>
      <c r="D60" s="356" t="s">
        <v>41</v>
      </c>
      <c r="E60" s="352">
        <v>40</v>
      </c>
      <c r="F60" s="318">
        <v>1.2</v>
      </c>
      <c r="G60" s="352">
        <v>1</v>
      </c>
      <c r="H60" s="437">
        <v>1</v>
      </c>
      <c r="I60" s="437">
        <v>1.3</v>
      </c>
      <c r="J60" s="436">
        <f t="shared" si="10"/>
        <v>62.400000000000006</v>
      </c>
      <c r="K60" s="352">
        <v>0</v>
      </c>
      <c r="L60" s="352">
        <v>1.2</v>
      </c>
      <c r="M60" s="352">
        <v>0</v>
      </c>
      <c r="N60" s="437">
        <v>0.9</v>
      </c>
      <c r="O60" s="437">
        <v>1.3</v>
      </c>
      <c r="P60" s="202">
        <f t="shared" si="7"/>
        <v>0</v>
      </c>
    </row>
    <row r="61" spans="1:16" ht="12" customHeight="1">
      <c r="A61" s="590"/>
      <c r="B61" s="340" t="s">
        <v>328</v>
      </c>
      <c r="C61" s="364">
        <v>25</v>
      </c>
      <c r="D61" s="356" t="s">
        <v>41</v>
      </c>
      <c r="E61" s="352">
        <v>90</v>
      </c>
      <c r="F61" s="318">
        <v>12</v>
      </c>
      <c r="G61" s="352">
        <v>2</v>
      </c>
      <c r="H61" s="437">
        <v>1</v>
      </c>
      <c r="I61" s="437">
        <v>1.3</v>
      </c>
      <c r="J61" s="436">
        <f t="shared" si="10"/>
        <v>2808</v>
      </c>
      <c r="K61" s="352">
        <v>90</v>
      </c>
      <c r="L61" s="352">
        <v>12</v>
      </c>
      <c r="M61" s="352">
        <v>2</v>
      </c>
      <c r="N61" s="437">
        <v>0.9</v>
      </c>
      <c r="O61" s="437">
        <v>1.3</v>
      </c>
      <c r="P61" s="202">
        <f t="shared" si="7"/>
        <v>2527.2000000000003</v>
      </c>
    </row>
    <row r="62" spans="1:16" ht="12" customHeight="1">
      <c r="A62" s="590"/>
      <c r="B62" s="340" t="s">
        <v>329</v>
      </c>
      <c r="C62" s="364">
        <v>26</v>
      </c>
      <c r="D62" s="356" t="s">
        <v>41</v>
      </c>
      <c r="E62" s="340"/>
      <c r="F62" s="319"/>
      <c r="G62" s="340"/>
      <c r="H62" s="437">
        <v>1</v>
      </c>
      <c r="I62" s="437">
        <v>1.3</v>
      </c>
      <c r="J62" s="436">
        <f t="shared" si="10"/>
        <v>0</v>
      </c>
      <c r="K62" s="340"/>
      <c r="L62" s="370"/>
      <c r="M62" s="340"/>
      <c r="N62" s="437">
        <v>0.9</v>
      </c>
      <c r="O62" s="437">
        <v>1.3</v>
      </c>
      <c r="P62" s="202">
        <f t="shared" si="7"/>
        <v>0</v>
      </c>
    </row>
    <row r="63" spans="1:16" ht="12" customHeight="1">
      <c r="A63" s="591"/>
      <c r="B63" s="593" t="s">
        <v>36</v>
      </c>
      <c r="C63" s="594"/>
      <c r="D63" s="595"/>
      <c r="E63" s="232"/>
      <c r="F63" s="232"/>
      <c r="G63" s="232"/>
      <c r="H63" s="232"/>
      <c r="I63" s="232"/>
      <c r="J63" s="346">
        <f>SUM(J37:J62)</f>
        <v>3271.32</v>
      </c>
      <c r="K63" s="346"/>
      <c r="L63" s="346"/>
      <c r="M63" s="346"/>
      <c r="N63" s="346"/>
      <c r="O63" s="346"/>
      <c r="P63" s="81">
        <f>SUM(P37:P62)</f>
        <v>2948.4</v>
      </c>
    </row>
    <row r="64" spans="1:16" ht="12" customHeight="1">
      <c r="A64" s="605" t="s">
        <v>242</v>
      </c>
      <c r="B64" s="594"/>
      <c r="C64" s="594"/>
      <c r="D64" s="595"/>
      <c r="E64" s="222"/>
      <c r="F64" s="222"/>
      <c r="G64" s="222"/>
      <c r="H64" s="222"/>
      <c r="I64" s="222"/>
      <c r="J64" s="223">
        <f>SUM(J63,J36)</f>
        <v>3271.32</v>
      </c>
      <c r="K64" s="223"/>
      <c r="L64" s="223"/>
      <c r="M64" s="223"/>
      <c r="N64" s="223"/>
      <c r="O64" s="223"/>
      <c r="P64" s="292">
        <f>SUM(P63,P36)</f>
        <v>2948.4</v>
      </c>
    </row>
    <row r="65" spans="1:16" ht="12" customHeight="1">
      <c r="A65" s="605" t="s">
        <v>243</v>
      </c>
      <c r="B65" s="594"/>
      <c r="C65" s="594"/>
      <c r="D65" s="595"/>
      <c r="E65" s="633" t="s">
        <v>244</v>
      </c>
      <c r="F65" s="634"/>
      <c r="G65" s="634"/>
      <c r="H65" s="634"/>
      <c r="I65" s="634"/>
      <c r="J65" s="654"/>
      <c r="K65" s="221"/>
      <c r="L65" s="221"/>
      <c r="M65" s="221"/>
      <c r="N65" s="221"/>
      <c r="O65" s="221" t="s">
        <v>245</v>
      </c>
      <c r="P65" s="292"/>
    </row>
    <row r="66" spans="1:16" ht="12" customHeight="1">
      <c r="A66" s="293" t="s">
        <v>54</v>
      </c>
      <c r="B66" s="655" t="s">
        <v>330</v>
      </c>
      <c r="C66" s="622"/>
      <c r="D66" s="647"/>
      <c r="E66" s="656">
        <v>0</v>
      </c>
      <c r="F66" s="639"/>
      <c r="G66" s="639"/>
      <c r="H66" s="639"/>
      <c r="I66" s="639"/>
      <c r="J66" s="657"/>
      <c r="K66" s="651">
        <v>0</v>
      </c>
      <c r="L66" s="652"/>
      <c r="M66" s="652"/>
      <c r="N66" s="652"/>
      <c r="O66" s="652"/>
      <c r="P66" s="653"/>
    </row>
    <row r="67" spans="1:16" ht="12" customHeight="1">
      <c r="A67" s="618" t="s">
        <v>248</v>
      </c>
      <c r="B67" s="641" t="s">
        <v>37</v>
      </c>
      <c r="C67" s="641"/>
      <c r="D67" s="642"/>
      <c r="E67" s="234"/>
      <c r="F67" s="234"/>
      <c r="G67" s="234"/>
      <c r="H67" s="234"/>
      <c r="I67" s="234"/>
      <c r="J67" s="220">
        <f>+SUMIF($D$14:$D$62,"PH",($J$14:$J$62))</f>
        <v>0</v>
      </c>
      <c r="K67" s="233"/>
      <c r="L67" s="233"/>
      <c r="M67" s="233"/>
      <c r="N67" s="233"/>
      <c r="O67" s="233"/>
      <c r="P67" s="235">
        <f>+SUMIF($D$14:$D$62,"PH",($P$14:$P$62))</f>
        <v>0</v>
      </c>
    </row>
    <row r="68" spans="1:16" ht="12" customHeight="1">
      <c r="A68" s="619"/>
      <c r="B68" s="643" t="s">
        <v>40</v>
      </c>
      <c r="C68" s="643"/>
      <c r="D68" s="644"/>
      <c r="E68" s="234"/>
      <c r="F68" s="234"/>
      <c r="G68" s="234"/>
      <c r="H68" s="234"/>
      <c r="I68" s="234"/>
      <c r="J68" s="220">
        <f>+SUMIF($D$14:$D$62,"PL",($J$14:$J$62))</f>
        <v>0</v>
      </c>
      <c r="K68" s="233"/>
      <c r="L68" s="233"/>
      <c r="M68" s="233"/>
      <c r="N68" s="233"/>
      <c r="O68" s="233"/>
      <c r="P68" s="235">
        <f>+SUMIF($D$14:$D$62,"PL",($P$14:$P$62))</f>
        <v>0</v>
      </c>
    </row>
    <row r="69" spans="1:16" ht="12" customHeight="1">
      <c r="A69" s="619"/>
      <c r="B69" s="629" t="s">
        <v>41</v>
      </c>
      <c r="C69" s="629"/>
      <c r="D69" s="630"/>
      <c r="E69" s="234"/>
      <c r="F69" s="234"/>
      <c r="G69" s="234"/>
      <c r="H69" s="234"/>
      <c r="I69" s="234"/>
      <c r="J69" s="220">
        <f>+SUMIF($D$14:$D$62,"MH",($J$14:$J$62))</f>
        <v>2870.4</v>
      </c>
      <c r="K69" s="233"/>
      <c r="L69" s="233"/>
      <c r="M69" s="233"/>
      <c r="N69" s="233"/>
      <c r="O69" s="233"/>
      <c r="P69" s="235">
        <f>+SUMIF($D$14:$D$62,"MH",($P$14:$P$62))</f>
        <v>2527.2000000000003</v>
      </c>
    </row>
    <row r="70" spans="1:16" ht="12" customHeight="1">
      <c r="A70" s="619"/>
      <c r="B70" s="594" t="s">
        <v>44</v>
      </c>
      <c r="C70" s="594"/>
      <c r="D70" s="595"/>
      <c r="E70" s="234"/>
      <c r="F70" s="234"/>
      <c r="G70" s="234"/>
      <c r="H70" s="234"/>
      <c r="I70" s="234"/>
      <c r="J70" s="220">
        <f>+SUMIF($D$14:$D$62,"ML",($J$14:$J$62))</f>
        <v>400.92</v>
      </c>
      <c r="K70" s="233"/>
      <c r="L70" s="233"/>
      <c r="M70" s="233"/>
      <c r="N70" s="233"/>
      <c r="O70" s="233"/>
      <c r="P70" s="235">
        <f>+SUMIF($D$14:$D$62,"ML",($P$14:$P$62))</f>
        <v>421.2</v>
      </c>
    </row>
    <row r="71" spans="1:16" ht="12" customHeight="1">
      <c r="A71" s="619"/>
      <c r="B71" s="616" t="s">
        <v>46</v>
      </c>
      <c r="C71" s="616"/>
      <c r="D71" s="617"/>
      <c r="E71" s="402"/>
      <c r="F71" s="402"/>
      <c r="G71" s="402"/>
      <c r="H71" s="402"/>
      <c r="I71" s="402"/>
      <c r="J71" s="403">
        <f>+SUMIF($D$14:$D$62,"SM",($J$14:$J$62))</f>
        <v>0</v>
      </c>
      <c r="K71" s="404"/>
      <c r="L71" s="404"/>
      <c r="M71" s="404"/>
      <c r="N71" s="404"/>
      <c r="O71" s="404"/>
      <c r="P71" s="219">
        <f>+SUMIF($D$14:$D$62,"SM",($P$14:$P$62))</f>
        <v>0</v>
      </c>
    </row>
    <row r="72" spans="1:16" ht="12" customHeight="1" thickBot="1">
      <c r="A72" s="620"/>
      <c r="B72" s="645" t="s">
        <v>48</v>
      </c>
      <c r="C72" s="645"/>
      <c r="D72" s="646"/>
      <c r="E72" s="179"/>
      <c r="F72" s="180"/>
      <c r="G72" s="180"/>
      <c r="H72" s="180"/>
      <c r="I72" s="180"/>
      <c r="J72" s="181">
        <f>SUM(J67:J71)</f>
        <v>3271.32</v>
      </c>
      <c r="K72" s="182"/>
      <c r="L72" s="182"/>
      <c r="M72" s="182"/>
      <c r="N72" s="182"/>
      <c r="O72" s="182"/>
      <c r="P72" s="183">
        <f>SUM(P67:P71)</f>
        <v>2948.4</v>
      </c>
    </row>
    <row r="73" spans="1:16" ht="15" customHeight="1" thickBot="1">
      <c r="A73" s="576" t="s">
        <v>278</v>
      </c>
      <c r="B73" s="577"/>
      <c r="C73" s="577"/>
      <c r="D73" s="577"/>
      <c r="E73" s="577"/>
      <c r="F73" s="577"/>
      <c r="G73" s="577"/>
      <c r="H73" s="577"/>
      <c r="I73" s="577"/>
      <c r="J73" s="577"/>
      <c r="K73" s="577"/>
      <c r="L73" s="577"/>
      <c r="M73" s="577"/>
      <c r="N73" s="577"/>
      <c r="O73" s="577"/>
      <c r="P73" s="578"/>
    </row>
    <row r="74" spans="1:16" ht="15" customHeight="1">
      <c r="A74" s="71"/>
      <c r="B74" s="72"/>
      <c r="C74" s="72"/>
      <c r="D74" s="72"/>
      <c r="E74" s="72"/>
      <c r="F74" s="72"/>
      <c r="G74" s="72"/>
      <c r="H74" s="72"/>
      <c r="I74" s="72"/>
      <c r="J74" s="72"/>
      <c r="K74" s="72"/>
      <c r="L74" s="72"/>
      <c r="M74" s="72"/>
      <c r="N74" s="72"/>
      <c r="O74" s="72"/>
      <c r="P74" s="73"/>
    </row>
    <row r="75" spans="1:16" ht="15" customHeight="1">
      <c r="A75" s="67"/>
      <c r="P75" s="68"/>
    </row>
    <row r="76" spans="1:16" ht="15" customHeight="1">
      <c r="A76" s="67"/>
      <c r="P76" s="68"/>
    </row>
    <row r="77" spans="1:16" ht="15" customHeight="1">
      <c r="A77" s="67"/>
      <c r="P77" s="68"/>
    </row>
    <row r="78" spans="1:16" ht="15" customHeight="1">
      <c r="A78" s="67"/>
      <c r="P78" s="68"/>
    </row>
    <row r="79" spans="1:16" ht="15" customHeight="1">
      <c r="A79" s="67"/>
      <c r="P79" s="68"/>
    </row>
    <row r="80" spans="1:16" ht="15" customHeight="1">
      <c r="A80" s="67"/>
      <c r="P80" s="68"/>
    </row>
    <row r="81" spans="1:16" ht="15" customHeight="1">
      <c r="A81" s="67"/>
      <c r="P81" s="68"/>
    </row>
    <row r="82" spans="1:16" ht="15" customHeight="1">
      <c r="A82" s="67"/>
      <c r="P82" s="68"/>
    </row>
    <row r="83" spans="1:16" ht="15" customHeight="1">
      <c r="A83" s="67"/>
      <c r="P83" s="68"/>
    </row>
    <row r="84" spans="1:16" ht="15" customHeight="1">
      <c r="A84" s="67"/>
      <c r="P84" s="68"/>
    </row>
    <row r="85" spans="1:16" ht="15" customHeight="1">
      <c r="A85" s="67"/>
      <c r="P85" s="68"/>
    </row>
    <row r="86" spans="1:16" ht="15" customHeight="1">
      <c r="A86" s="67"/>
      <c r="P86" s="68"/>
    </row>
    <row r="87" spans="1:16" ht="15" customHeight="1">
      <c r="A87" s="67"/>
      <c r="P87" s="68"/>
    </row>
    <row r="88" spans="1:16" ht="15" customHeight="1">
      <c r="A88" s="67"/>
      <c r="P88" s="68"/>
    </row>
    <row r="89" spans="1:16" ht="15" customHeight="1">
      <c r="A89" s="67"/>
      <c r="P89" s="68"/>
    </row>
    <row r="90" spans="1:16" ht="15" customHeight="1">
      <c r="A90" s="67"/>
      <c r="P90" s="68"/>
    </row>
    <row r="91" spans="1:16" ht="15" customHeight="1">
      <c r="A91" s="67"/>
      <c r="P91" s="68"/>
    </row>
    <row r="92" spans="1:16" ht="15" customHeight="1">
      <c r="A92" s="67"/>
      <c r="P92" s="68"/>
    </row>
    <row r="93" spans="1:16" ht="15" customHeight="1">
      <c r="A93" s="67"/>
      <c r="P93" s="68"/>
    </row>
    <row r="94" spans="1:16" ht="15" customHeight="1">
      <c r="A94" s="67"/>
      <c r="P94" s="68"/>
    </row>
    <row r="95" spans="1:16" ht="15" customHeight="1">
      <c r="A95" s="67"/>
      <c r="P95" s="68"/>
    </row>
    <row r="96" spans="1:16" ht="15" customHeight="1">
      <c r="A96" s="67"/>
      <c r="P96" s="68"/>
    </row>
    <row r="97" spans="1:16" ht="15" customHeight="1">
      <c r="A97" s="67"/>
      <c r="P97" s="68"/>
    </row>
    <row r="98" spans="1:16" ht="15" customHeight="1">
      <c r="A98" s="67"/>
      <c r="P98" s="68"/>
    </row>
    <row r="99" spans="1:16" ht="15" customHeight="1">
      <c r="A99" s="67"/>
      <c r="P99" s="68"/>
    </row>
    <row r="100" spans="1:16" ht="15" customHeight="1">
      <c r="A100" s="67"/>
      <c r="P100" s="68"/>
    </row>
    <row r="101" spans="1:16" ht="15" customHeight="1">
      <c r="A101" s="67"/>
      <c r="P101" s="68"/>
    </row>
    <row r="102" spans="1:16" ht="15" customHeight="1">
      <c r="A102" s="67"/>
      <c r="P102" s="68"/>
    </row>
    <row r="103" spans="1:16" ht="15" customHeight="1">
      <c r="A103" s="67"/>
      <c r="P103" s="68"/>
    </row>
    <row r="104" spans="1:16" ht="15" customHeight="1">
      <c r="A104" s="67"/>
      <c r="P104" s="68"/>
    </row>
    <row r="105" spans="1:16" ht="15" customHeight="1">
      <c r="A105" s="67"/>
      <c r="P105" s="68"/>
    </row>
    <row r="106" spans="1:16" ht="15" customHeight="1">
      <c r="A106" s="67"/>
      <c r="P106" s="68"/>
    </row>
    <row r="107" spans="1:16" ht="15" customHeight="1">
      <c r="A107" s="67" t="s">
        <v>331</v>
      </c>
      <c r="B107" s="217"/>
      <c r="C107" s="28" t="s">
        <v>332</v>
      </c>
      <c r="P107" s="68"/>
    </row>
    <row r="108" spans="1:16" ht="15" customHeight="1" thickBot="1">
      <c r="A108" s="74"/>
      <c r="B108" s="218"/>
      <c r="C108" s="75" t="s">
        <v>27</v>
      </c>
      <c r="D108" s="75"/>
      <c r="E108" s="75"/>
      <c r="F108" s="75"/>
      <c r="G108" s="75"/>
      <c r="H108" s="75"/>
      <c r="I108" s="75"/>
      <c r="J108" s="75"/>
      <c r="K108" s="75"/>
      <c r="L108" s="75"/>
      <c r="M108" s="75"/>
      <c r="N108" s="75"/>
      <c r="O108" s="75"/>
      <c r="P108" s="76"/>
    </row>
  </sheetData>
  <mergeCells count="45">
    <mergeCell ref="B4:F4"/>
    <mergeCell ref="G4:I4"/>
    <mergeCell ref="J4:L4"/>
    <mergeCell ref="M4:P4"/>
    <mergeCell ref="B5:F5"/>
    <mergeCell ref="G5:I5"/>
    <mergeCell ref="J5:L5"/>
    <mergeCell ref="M5:P5"/>
    <mergeCell ref="A73:P73"/>
    <mergeCell ref="A1:P1"/>
    <mergeCell ref="A2:P2"/>
    <mergeCell ref="B3:D3"/>
    <mergeCell ref="E3:G3"/>
    <mergeCell ref="H3:J3"/>
    <mergeCell ref="K3:M3"/>
    <mergeCell ref="N3:P3"/>
    <mergeCell ref="K6:M6"/>
    <mergeCell ref="N6:P6"/>
    <mergeCell ref="H6:J6"/>
    <mergeCell ref="E6:G6"/>
    <mergeCell ref="B6:D6"/>
    <mergeCell ref="A37:A63"/>
    <mergeCell ref="B63:D63"/>
    <mergeCell ref="B8:E8"/>
    <mergeCell ref="B10:E10"/>
    <mergeCell ref="B9:F9"/>
    <mergeCell ref="A64:D64"/>
    <mergeCell ref="A65:D65"/>
    <mergeCell ref="B66:D66"/>
    <mergeCell ref="A12:A13"/>
    <mergeCell ref="E66:J66"/>
    <mergeCell ref="K12:P12"/>
    <mergeCell ref="E12:J12"/>
    <mergeCell ref="B12:D12"/>
    <mergeCell ref="A14:A36"/>
    <mergeCell ref="B36:D36"/>
    <mergeCell ref="K66:P66"/>
    <mergeCell ref="E65:J65"/>
    <mergeCell ref="A67:A72"/>
    <mergeCell ref="B67:D67"/>
    <mergeCell ref="B68:D68"/>
    <mergeCell ref="B69:D69"/>
    <mergeCell ref="B70:D70"/>
    <mergeCell ref="B71:D71"/>
    <mergeCell ref="B72:D72"/>
  </mergeCells>
  <phoneticPr fontId="88" type="noConversion"/>
  <pageMargins left="0.5" right="0.5" top="0.5" bottom="0.5" header="0.3" footer="0.3"/>
  <pageSetup paperSize="9" scale="88" fitToHeight="0" orientation="portrait" horizontalDpi="300" verticalDpi="300" r:id="rId1"/>
  <headerFooter>
    <oddHeader>&amp;RNo. Form : FM/CH-018 (Lampiran)</oddHeader>
    <oddFooter>&amp;L&amp;F &amp;A&amp;RReported by Pit Control Section          Page &amp;P of &amp;N</oddFooter>
  </headerFooter>
  <rowBreaks count="1" manualBreakCount="1">
    <brk id="72" max="15" man="1"/>
  </rowBreaks>
  <ignoredErrors>
    <ignoredError sqref="J64:P64 K63:O63 J62 O36:P37 O62:P62 J36:J37 J39:J60 O39:P60" formula="1"/>
  </ignoredError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P71"/>
  <sheetViews>
    <sheetView showGridLines="0" view="pageBreakPreview" zoomScaleNormal="100" zoomScaleSheetLayoutView="100" workbookViewId="0">
      <pane ySplit="13" topLeftCell="A14" activePane="bottomLeft" state="frozen"/>
      <selection activeCell="O125" sqref="O125"/>
      <selection pane="bottomLeft" sqref="A1:P1"/>
    </sheetView>
  </sheetViews>
  <sheetFormatPr defaultRowHeight="15" customHeight="1"/>
  <cols>
    <col min="1" max="1" width="11.77734375" style="28" customWidth="1"/>
    <col min="2" max="9" width="4.77734375" style="28" customWidth="1"/>
    <col min="10" max="10" width="7.77734375" style="28" customWidth="1"/>
    <col min="11" max="15" width="4.77734375" style="28" customWidth="1"/>
    <col min="16" max="16" width="7.77734375" style="28" customWidth="1"/>
    <col min="17" max="256" width="8.88671875" style="28"/>
    <col min="257" max="257" width="11.77734375" style="28" customWidth="1"/>
    <col min="258" max="265" width="4.77734375" style="28" customWidth="1"/>
    <col min="266" max="266" width="7.77734375" style="28" customWidth="1"/>
    <col min="267" max="271" width="4.77734375" style="28" customWidth="1"/>
    <col min="272" max="272" width="7.77734375" style="28" customWidth="1"/>
    <col min="273" max="512" width="8.88671875" style="28"/>
    <col min="513" max="513" width="11.77734375" style="28" customWidth="1"/>
    <col min="514" max="521" width="4.77734375" style="28" customWidth="1"/>
    <col min="522" max="522" width="7.77734375" style="28" customWidth="1"/>
    <col min="523" max="527" width="4.77734375" style="28" customWidth="1"/>
    <col min="528" max="528" width="7.77734375" style="28" customWidth="1"/>
    <col min="529" max="768" width="8.88671875" style="28"/>
    <col min="769" max="769" width="11.77734375" style="28" customWidth="1"/>
    <col min="770" max="777" width="4.77734375" style="28" customWidth="1"/>
    <col min="778" max="778" width="7.77734375" style="28" customWidth="1"/>
    <col min="779" max="783" width="4.77734375" style="28" customWidth="1"/>
    <col min="784" max="784" width="7.77734375" style="28" customWidth="1"/>
    <col min="785" max="1024" width="8.88671875" style="28"/>
    <col min="1025" max="1025" width="11.77734375" style="28" customWidth="1"/>
    <col min="1026" max="1033" width="4.77734375" style="28" customWidth="1"/>
    <col min="1034" max="1034" width="7.77734375" style="28" customWidth="1"/>
    <col min="1035" max="1039" width="4.77734375" style="28" customWidth="1"/>
    <col min="1040" max="1040" width="7.77734375" style="28" customWidth="1"/>
    <col min="1041" max="1280" width="8.88671875" style="28"/>
    <col min="1281" max="1281" width="11.77734375" style="28" customWidth="1"/>
    <col min="1282" max="1289" width="4.77734375" style="28" customWidth="1"/>
    <col min="1290" max="1290" width="7.77734375" style="28" customWidth="1"/>
    <col min="1291" max="1295" width="4.77734375" style="28" customWidth="1"/>
    <col min="1296" max="1296" width="7.77734375" style="28" customWidth="1"/>
    <col min="1297" max="1536" width="8.88671875" style="28"/>
    <col min="1537" max="1537" width="11.77734375" style="28" customWidth="1"/>
    <col min="1538" max="1545" width="4.77734375" style="28" customWidth="1"/>
    <col min="1546" max="1546" width="7.77734375" style="28" customWidth="1"/>
    <col min="1547" max="1551" width="4.77734375" style="28" customWidth="1"/>
    <col min="1552" max="1552" width="7.77734375" style="28" customWidth="1"/>
    <col min="1553" max="1792" width="8.88671875" style="28"/>
    <col min="1793" max="1793" width="11.77734375" style="28" customWidth="1"/>
    <col min="1794" max="1801" width="4.77734375" style="28" customWidth="1"/>
    <col min="1802" max="1802" width="7.77734375" style="28" customWidth="1"/>
    <col min="1803" max="1807" width="4.77734375" style="28" customWidth="1"/>
    <col min="1808" max="1808" width="7.77734375" style="28" customWidth="1"/>
    <col min="1809" max="2048" width="8.88671875" style="28"/>
    <col min="2049" max="2049" width="11.77734375" style="28" customWidth="1"/>
    <col min="2050" max="2057" width="4.77734375" style="28" customWidth="1"/>
    <col min="2058" max="2058" width="7.77734375" style="28" customWidth="1"/>
    <col min="2059" max="2063" width="4.77734375" style="28" customWidth="1"/>
    <col min="2064" max="2064" width="7.77734375" style="28" customWidth="1"/>
    <col min="2065" max="2304" width="8.88671875" style="28"/>
    <col min="2305" max="2305" width="11.77734375" style="28" customWidth="1"/>
    <col min="2306" max="2313" width="4.77734375" style="28" customWidth="1"/>
    <col min="2314" max="2314" width="7.77734375" style="28" customWidth="1"/>
    <col min="2315" max="2319" width="4.77734375" style="28" customWidth="1"/>
    <col min="2320" max="2320" width="7.77734375" style="28" customWidth="1"/>
    <col min="2321" max="2560" width="8.88671875" style="28"/>
    <col min="2561" max="2561" width="11.77734375" style="28" customWidth="1"/>
    <col min="2562" max="2569" width="4.77734375" style="28" customWidth="1"/>
    <col min="2570" max="2570" width="7.77734375" style="28" customWidth="1"/>
    <col min="2571" max="2575" width="4.77734375" style="28" customWidth="1"/>
    <col min="2576" max="2576" width="7.77734375" style="28" customWidth="1"/>
    <col min="2577" max="2816" width="8.88671875" style="28"/>
    <col min="2817" max="2817" width="11.77734375" style="28" customWidth="1"/>
    <col min="2818" max="2825" width="4.77734375" style="28" customWidth="1"/>
    <col min="2826" max="2826" width="7.77734375" style="28" customWidth="1"/>
    <col min="2827" max="2831" width="4.77734375" style="28" customWidth="1"/>
    <col min="2832" max="2832" width="7.77734375" style="28" customWidth="1"/>
    <col min="2833" max="3072" width="8.88671875" style="28"/>
    <col min="3073" max="3073" width="11.77734375" style="28" customWidth="1"/>
    <col min="3074" max="3081" width="4.77734375" style="28" customWidth="1"/>
    <col min="3082" max="3082" width="7.77734375" style="28" customWidth="1"/>
    <col min="3083" max="3087" width="4.77734375" style="28" customWidth="1"/>
    <col min="3088" max="3088" width="7.77734375" style="28" customWidth="1"/>
    <col min="3089" max="3328" width="8.88671875" style="28"/>
    <col min="3329" max="3329" width="11.77734375" style="28" customWidth="1"/>
    <col min="3330" max="3337" width="4.77734375" style="28" customWidth="1"/>
    <col min="3338" max="3338" width="7.77734375" style="28" customWidth="1"/>
    <col min="3339" max="3343" width="4.77734375" style="28" customWidth="1"/>
    <col min="3344" max="3344" width="7.77734375" style="28" customWidth="1"/>
    <col min="3345" max="3584" width="8.88671875" style="28"/>
    <col min="3585" max="3585" width="11.77734375" style="28" customWidth="1"/>
    <col min="3586" max="3593" width="4.77734375" style="28" customWidth="1"/>
    <col min="3594" max="3594" width="7.77734375" style="28" customWidth="1"/>
    <col min="3595" max="3599" width="4.77734375" style="28" customWidth="1"/>
    <col min="3600" max="3600" width="7.77734375" style="28" customWidth="1"/>
    <col min="3601" max="3840" width="8.88671875" style="28"/>
    <col min="3841" max="3841" width="11.77734375" style="28" customWidth="1"/>
    <col min="3842" max="3849" width="4.77734375" style="28" customWidth="1"/>
    <col min="3850" max="3850" width="7.77734375" style="28" customWidth="1"/>
    <col min="3851" max="3855" width="4.77734375" style="28" customWidth="1"/>
    <col min="3856" max="3856" width="7.77734375" style="28" customWidth="1"/>
    <col min="3857" max="4096" width="8.88671875" style="28"/>
    <col min="4097" max="4097" width="11.77734375" style="28" customWidth="1"/>
    <col min="4098" max="4105" width="4.77734375" style="28" customWidth="1"/>
    <col min="4106" max="4106" width="7.77734375" style="28" customWidth="1"/>
    <col min="4107" max="4111" width="4.77734375" style="28" customWidth="1"/>
    <col min="4112" max="4112" width="7.77734375" style="28" customWidth="1"/>
    <col min="4113" max="4352" width="8.88671875" style="28"/>
    <col min="4353" max="4353" width="11.77734375" style="28" customWidth="1"/>
    <col min="4354" max="4361" width="4.77734375" style="28" customWidth="1"/>
    <col min="4362" max="4362" width="7.77734375" style="28" customWidth="1"/>
    <col min="4363" max="4367" width="4.77734375" style="28" customWidth="1"/>
    <col min="4368" max="4368" width="7.77734375" style="28" customWidth="1"/>
    <col min="4369" max="4608" width="8.88671875" style="28"/>
    <col min="4609" max="4609" width="11.77734375" style="28" customWidth="1"/>
    <col min="4610" max="4617" width="4.77734375" style="28" customWidth="1"/>
    <col min="4618" max="4618" width="7.77734375" style="28" customWidth="1"/>
    <col min="4619" max="4623" width="4.77734375" style="28" customWidth="1"/>
    <col min="4624" max="4624" width="7.77734375" style="28" customWidth="1"/>
    <col min="4625" max="4864" width="8.88671875" style="28"/>
    <col min="4865" max="4865" width="11.77734375" style="28" customWidth="1"/>
    <col min="4866" max="4873" width="4.77734375" style="28" customWidth="1"/>
    <col min="4874" max="4874" width="7.77734375" style="28" customWidth="1"/>
    <col min="4875" max="4879" width="4.77734375" style="28" customWidth="1"/>
    <col min="4880" max="4880" width="7.77734375" style="28" customWidth="1"/>
    <col min="4881" max="5120" width="8.88671875" style="28"/>
    <col min="5121" max="5121" width="11.77734375" style="28" customWidth="1"/>
    <col min="5122" max="5129" width="4.77734375" style="28" customWidth="1"/>
    <col min="5130" max="5130" width="7.77734375" style="28" customWidth="1"/>
    <col min="5131" max="5135" width="4.77734375" style="28" customWidth="1"/>
    <col min="5136" max="5136" width="7.77734375" style="28" customWidth="1"/>
    <col min="5137" max="5376" width="8.88671875" style="28"/>
    <col min="5377" max="5377" width="11.77734375" style="28" customWidth="1"/>
    <col min="5378" max="5385" width="4.77734375" style="28" customWidth="1"/>
    <col min="5386" max="5386" width="7.77734375" style="28" customWidth="1"/>
    <col min="5387" max="5391" width="4.77734375" style="28" customWidth="1"/>
    <col min="5392" max="5392" width="7.77734375" style="28" customWidth="1"/>
    <col min="5393" max="5632" width="8.88671875" style="28"/>
    <col min="5633" max="5633" width="11.77734375" style="28" customWidth="1"/>
    <col min="5634" max="5641" width="4.77734375" style="28" customWidth="1"/>
    <col min="5642" max="5642" width="7.77734375" style="28" customWidth="1"/>
    <col min="5643" max="5647" width="4.77734375" style="28" customWidth="1"/>
    <col min="5648" max="5648" width="7.77734375" style="28" customWidth="1"/>
    <col min="5649" max="5888" width="8.88671875" style="28"/>
    <col min="5889" max="5889" width="11.77734375" style="28" customWidth="1"/>
    <col min="5890" max="5897" width="4.77734375" style="28" customWidth="1"/>
    <col min="5898" max="5898" width="7.77734375" style="28" customWidth="1"/>
    <col min="5899" max="5903" width="4.77734375" style="28" customWidth="1"/>
    <col min="5904" max="5904" width="7.77734375" style="28" customWidth="1"/>
    <col min="5905" max="6144" width="8.88671875" style="28"/>
    <col min="6145" max="6145" width="11.77734375" style="28" customWidth="1"/>
    <col min="6146" max="6153" width="4.77734375" style="28" customWidth="1"/>
    <col min="6154" max="6154" width="7.77734375" style="28" customWidth="1"/>
    <col min="6155" max="6159" width="4.77734375" style="28" customWidth="1"/>
    <col min="6160" max="6160" width="7.77734375" style="28" customWidth="1"/>
    <col min="6161" max="6400" width="8.88671875" style="28"/>
    <col min="6401" max="6401" width="11.77734375" style="28" customWidth="1"/>
    <col min="6402" max="6409" width="4.77734375" style="28" customWidth="1"/>
    <col min="6410" max="6410" width="7.77734375" style="28" customWidth="1"/>
    <col min="6411" max="6415" width="4.77734375" style="28" customWidth="1"/>
    <col min="6416" max="6416" width="7.77734375" style="28" customWidth="1"/>
    <col min="6417" max="6656" width="8.88671875" style="28"/>
    <col min="6657" max="6657" width="11.77734375" style="28" customWidth="1"/>
    <col min="6658" max="6665" width="4.77734375" style="28" customWidth="1"/>
    <col min="6666" max="6666" width="7.77734375" style="28" customWidth="1"/>
    <col min="6667" max="6671" width="4.77734375" style="28" customWidth="1"/>
    <col min="6672" max="6672" width="7.77734375" style="28" customWidth="1"/>
    <col min="6673" max="6912" width="8.88671875" style="28"/>
    <col min="6913" max="6913" width="11.77734375" style="28" customWidth="1"/>
    <col min="6914" max="6921" width="4.77734375" style="28" customWidth="1"/>
    <col min="6922" max="6922" width="7.77734375" style="28" customWidth="1"/>
    <col min="6923" max="6927" width="4.77734375" style="28" customWidth="1"/>
    <col min="6928" max="6928" width="7.77734375" style="28" customWidth="1"/>
    <col min="6929" max="7168" width="8.88671875" style="28"/>
    <col min="7169" max="7169" width="11.77734375" style="28" customWidth="1"/>
    <col min="7170" max="7177" width="4.77734375" style="28" customWidth="1"/>
    <col min="7178" max="7178" width="7.77734375" style="28" customWidth="1"/>
    <col min="7179" max="7183" width="4.77734375" style="28" customWidth="1"/>
    <col min="7184" max="7184" width="7.77734375" style="28" customWidth="1"/>
    <col min="7185" max="7424" width="8.88671875" style="28"/>
    <col min="7425" max="7425" width="11.77734375" style="28" customWidth="1"/>
    <col min="7426" max="7433" width="4.77734375" style="28" customWidth="1"/>
    <col min="7434" max="7434" width="7.77734375" style="28" customWidth="1"/>
    <col min="7435" max="7439" width="4.77734375" style="28" customWidth="1"/>
    <col min="7440" max="7440" width="7.77734375" style="28" customWidth="1"/>
    <col min="7441" max="7680" width="8.88671875" style="28"/>
    <col min="7681" max="7681" width="11.77734375" style="28" customWidth="1"/>
    <col min="7682" max="7689" width="4.77734375" style="28" customWidth="1"/>
    <col min="7690" max="7690" width="7.77734375" style="28" customWidth="1"/>
    <col min="7691" max="7695" width="4.77734375" style="28" customWidth="1"/>
    <col min="7696" max="7696" width="7.77734375" style="28" customWidth="1"/>
    <col min="7697" max="7936" width="8.88671875" style="28"/>
    <col min="7937" max="7937" width="11.77734375" style="28" customWidth="1"/>
    <col min="7938" max="7945" width="4.77734375" style="28" customWidth="1"/>
    <col min="7946" max="7946" width="7.77734375" style="28" customWidth="1"/>
    <col min="7947" max="7951" width="4.77734375" style="28" customWidth="1"/>
    <col min="7952" max="7952" width="7.77734375" style="28" customWidth="1"/>
    <col min="7953" max="8192" width="8.88671875" style="28"/>
    <col min="8193" max="8193" width="11.77734375" style="28" customWidth="1"/>
    <col min="8194" max="8201" width="4.77734375" style="28" customWidth="1"/>
    <col min="8202" max="8202" width="7.77734375" style="28" customWidth="1"/>
    <col min="8203" max="8207" width="4.77734375" style="28" customWidth="1"/>
    <col min="8208" max="8208" width="7.77734375" style="28" customWidth="1"/>
    <col min="8209" max="8448" width="8.88671875" style="28"/>
    <col min="8449" max="8449" width="11.77734375" style="28" customWidth="1"/>
    <col min="8450" max="8457" width="4.77734375" style="28" customWidth="1"/>
    <col min="8458" max="8458" width="7.77734375" style="28" customWidth="1"/>
    <col min="8459" max="8463" width="4.77734375" style="28" customWidth="1"/>
    <col min="8464" max="8464" width="7.77734375" style="28" customWidth="1"/>
    <col min="8465" max="8704" width="8.88671875" style="28"/>
    <col min="8705" max="8705" width="11.77734375" style="28" customWidth="1"/>
    <col min="8706" max="8713" width="4.77734375" style="28" customWidth="1"/>
    <col min="8714" max="8714" width="7.77734375" style="28" customWidth="1"/>
    <col min="8715" max="8719" width="4.77734375" style="28" customWidth="1"/>
    <col min="8720" max="8720" width="7.77734375" style="28" customWidth="1"/>
    <col min="8721" max="8960" width="8.88671875" style="28"/>
    <col min="8961" max="8961" width="11.77734375" style="28" customWidth="1"/>
    <col min="8962" max="8969" width="4.77734375" style="28" customWidth="1"/>
    <col min="8970" max="8970" width="7.77734375" style="28" customWidth="1"/>
    <col min="8971" max="8975" width="4.77734375" style="28" customWidth="1"/>
    <col min="8976" max="8976" width="7.77734375" style="28" customWidth="1"/>
    <col min="8977" max="9216" width="8.88671875" style="28"/>
    <col min="9217" max="9217" width="11.77734375" style="28" customWidth="1"/>
    <col min="9218" max="9225" width="4.77734375" style="28" customWidth="1"/>
    <col min="9226" max="9226" width="7.77734375" style="28" customWidth="1"/>
    <col min="9227" max="9231" width="4.77734375" style="28" customWidth="1"/>
    <col min="9232" max="9232" width="7.77734375" style="28" customWidth="1"/>
    <col min="9233" max="9472" width="8.88671875" style="28"/>
    <col min="9473" max="9473" width="11.77734375" style="28" customWidth="1"/>
    <col min="9474" max="9481" width="4.77734375" style="28" customWidth="1"/>
    <col min="9482" max="9482" width="7.77734375" style="28" customWidth="1"/>
    <col min="9483" max="9487" width="4.77734375" style="28" customWidth="1"/>
    <col min="9488" max="9488" width="7.77734375" style="28" customWidth="1"/>
    <col min="9489" max="9728" width="8.88671875" style="28"/>
    <col min="9729" max="9729" width="11.77734375" style="28" customWidth="1"/>
    <col min="9730" max="9737" width="4.77734375" style="28" customWidth="1"/>
    <col min="9738" max="9738" width="7.77734375" style="28" customWidth="1"/>
    <col min="9739" max="9743" width="4.77734375" style="28" customWidth="1"/>
    <col min="9744" max="9744" width="7.77734375" style="28" customWidth="1"/>
    <col min="9745" max="9984" width="8.88671875" style="28"/>
    <col min="9985" max="9985" width="11.77734375" style="28" customWidth="1"/>
    <col min="9986" max="9993" width="4.77734375" style="28" customWidth="1"/>
    <col min="9994" max="9994" width="7.77734375" style="28" customWidth="1"/>
    <col min="9995" max="9999" width="4.77734375" style="28" customWidth="1"/>
    <col min="10000" max="10000" width="7.77734375" style="28" customWidth="1"/>
    <col min="10001" max="10240" width="8.88671875" style="28"/>
    <col min="10241" max="10241" width="11.77734375" style="28" customWidth="1"/>
    <col min="10242" max="10249" width="4.77734375" style="28" customWidth="1"/>
    <col min="10250" max="10250" width="7.77734375" style="28" customWidth="1"/>
    <col min="10251" max="10255" width="4.77734375" style="28" customWidth="1"/>
    <col min="10256" max="10256" width="7.77734375" style="28" customWidth="1"/>
    <col min="10257" max="10496" width="8.88671875" style="28"/>
    <col min="10497" max="10497" width="11.77734375" style="28" customWidth="1"/>
    <col min="10498" max="10505" width="4.77734375" style="28" customWidth="1"/>
    <col min="10506" max="10506" width="7.77734375" style="28" customWidth="1"/>
    <col min="10507" max="10511" width="4.77734375" style="28" customWidth="1"/>
    <col min="10512" max="10512" width="7.77734375" style="28" customWidth="1"/>
    <col min="10513" max="10752" width="8.88671875" style="28"/>
    <col min="10753" max="10753" width="11.77734375" style="28" customWidth="1"/>
    <col min="10754" max="10761" width="4.77734375" style="28" customWidth="1"/>
    <col min="10762" max="10762" width="7.77734375" style="28" customWidth="1"/>
    <col min="10763" max="10767" width="4.77734375" style="28" customWidth="1"/>
    <col min="10768" max="10768" width="7.77734375" style="28" customWidth="1"/>
    <col min="10769" max="11008" width="8.88671875" style="28"/>
    <col min="11009" max="11009" width="11.77734375" style="28" customWidth="1"/>
    <col min="11010" max="11017" width="4.77734375" style="28" customWidth="1"/>
    <col min="11018" max="11018" width="7.77734375" style="28" customWidth="1"/>
    <col min="11019" max="11023" width="4.77734375" style="28" customWidth="1"/>
    <col min="11024" max="11024" width="7.77734375" style="28" customWidth="1"/>
    <col min="11025" max="11264" width="8.88671875" style="28"/>
    <col min="11265" max="11265" width="11.77734375" style="28" customWidth="1"/>
    <col min="11266" max="11273" width="4.77734375" style="28" customWidth="1"/>
    <col min="11274" max="11274" width="7.77734375" style="28" customWidth="1"/>
    <col min="11275" max="11279" width="4.77734375" style="28" customWidth="1"/>
    <col min="11280" max="11280" width="7.77734375" style="28" customWidth="1"/>
    <col min="11281" max="11520" width="8.88671875" style="28"/>
    <col min="11521" max="11521" width="11.77734375" style="28" customWidth="1"/>
    <col min="11522" max="11529" width="4.77734375" style="28" customWidth="1"/>
    <col min="11530" max="11530" width="7.77734375" style="28" customWidth="1"/>
    <col min="11531" max="11535" width="4.77734375" style="28" customWidth="1"/>
    <col min="11536" max="11536" width="7.77734375" style="28" customWidth="1"/>
    <col min="11537" max="11776" width="8.88671875" style="28"/>
    <col min="11777" max="11777" width="11.77734375" style="28" customWidth="1"/>
    <col min="11778" max="11785" width="4.77734375" style="28" customWidth="1"/>
    <col min="11786" max="11786" width="7.77734375" style="28" customWidth="1"/>
    <col min="11787" max="11791" width="4.77734375" style="28" customWidth="1"/>
    <col min="11792" max="11792" width="7.77734375" style="28" customWidth="1"/>
    <col min="11793" max="12032" width="8.88671875" style="28"/>
    <col min="12033" max="12033" width="11.77734375" style="28" customWidth="1"/>
    <col min="12034" max="12041" width="4.77734375" style="28" customWidth="1"/>
    <col min="12042" max="12042" width="7.77734375" style="28" customWidth="1"/>
    <col min="12043" max="12047" width="4.77734375" style="28" customWidth="1"/>
    <col min="12048" max="12048" width="7.77734375" style="28" customWidth="1"/>
    <col min="12049" max="12288" width="8.88671875" style="28"/>
    <col min="12289" max="12289" width="11.77734375" style="28" customWidth="1"/>
    <col min="12290" max="12297" width="4.77734375" style="28" customWidth="1"/>
    <col min="12298" max="12298" width="7.77734375" style="28" customWidth="1"/>
    <col min="12299" max="12303" width="4.77734375" style="28" customWidth="1"/>
    <col min="12304" max="12304" width="7.77734375" style="28" customWidth="1"/>
    <col min="12305" max="12544" width="8.88671875" style="28"/>
    <col min="12545" max="12545" width="11.77734375" style="28" customWidth="1"/>
    <col min="12546" max="12553" width="4.77734375" style="28" customWidth="1"/>
    <col min="12554" max="12554" width="7.77734375" style="28" customWidth="1"/>
    <col min="12555" max="12559" width="4.77734375" style="28" customWidth="1"/>
    <col min="12560" max="12560" width="7.77734375" style="28" customWidth="1"/>
    <col min="12561" max="12800" width="8.88671875" style="28"/>
    <col min="12801" max="12801" width="11.77734375" style="28" customWidth="1"/>
    <col min="12802" max="12809" width="4.77734375" style="28" customWidth="1"/>
    <col min="12810" max="12810" width="7.77734375" style="28" customWidth="1"/>
    <col min="12811" max="12815" width="4.77734375" style="28" customWidth="1"/>
    <col min="12816" max="12816" width="7.77734375" style="28" customWidth="1"/>
    <col min="12817" max="13056" width="8.88671875" style="28"/>
    <col min="13057" max="13057" width="11.77734375" style="28" customWidth="1"/>
    <col min="13058" max="13065" width="4.77734375" style="28" customWidth="1"/>
    <col min="13066" max="13066" width="7.77734375" style="28" customWidth="1"/>
    <col min="13067" max="13071" width="4.77734375" style="28" customWidth="1"/>
    <col min="13072" max="13072" width="7.77734375" style="28" customWidth="1"/>
    <col min="13073" max="13312" width="8.88671875" style="28"/>
    <col min="13313" max="13313" width="11.77734375" style="28" customWidth="1"/>
    <col min="13314" max="13321" width="4.77734375" style="28" customWidth="1"/>
    <col min="13322" max="13322" width="7.77734375" style="28" customWidth="1"/>
    <col min="13323" max="13327" width="4.77734375" style="28" customWidth="1"/>
    <col min="13328" max="13328" width="7.77734375" style="28" customWidth="1"/>
    <col min="13329" max="13568" width="8.88671875" style="28"/>
    <col min="13569" max="13569" width="11.77734375" style="28" customWidth="1"/>
    <col min="13570" max="13577" width="4.77734375" style="28" customWidth="1"/>
    <col min="13578" max="13578" width="7.77734375" style="28" customWidth="1"/>
    <col min="13579" max="13583" width="4.77734375" style="28" customWidth="1"/>
    <col min="13584" max="13584" width="7.77734375" style="28" customWidth="1"/>
    <col min="13585" max="13824" width="8.88671875" style="28"/>
    <col min="13825" max="13825" width="11.77734375" style="28" customWidth="1"/>
    <col min="13826" max="13833" width="4.77734375" style="28" customWidth="1"/>
    <col min="13834" max="13834" width="7.77734375" style="28" customWidth="1"/>
    <col min="13835" max="13839" width="4.77734375" style="28" customWidth="1"/>
    <col min="13840" max="13840" width="7.77734375" style="28" customWidth="1"/>
    <col min="13841" max="14080" width="8.88671875" style="28"/>
    <col min="14081" max="14081" width="11.77734375" style="28" customWidth="1"/>
    <col min="14082" max="14089" width="4.77734375" style="28" customWidth="1"/>
    <col min="14090" max="14090" width="7.77734375" style="28" customWidth="1"/>
    <col min="14091" max="14095" width="4.77734375" style="28" customWidth="1"/>
    <col min="14096" max="14096" width="7.77734375" style="28" customWidth="1"/>
    <col min="14097" max="14336" width="8.88671875" style="28"/>
    <col min="14337" max="14337" width="11.77734375" style="28" customWidth="1"/>
    <col min="14338" max="14345" width="4.77734375" style="28" customWidth="1"/>
    <col min="14346" max="14346" width="7.77734375" style="28" customWidth="1"/>
    <col min="14347" max="14351" width="4.77734375" style="28" customWidth="1"/>
    <col min="14352" max="14352" width="7.77734375" style="28" customWidth="1"/>
    <col min="14353" max="14592" width="8.88671875" style="28"/>
    <col min="14593" max="14593" width="11.77734375" style="28" customWidth="1"/>
    <col min="14594" max="14601" width="4.77734375" style="28" customWidth="1"/>
    <col min="14602" max="14602" width="7.77734375" style="28" customWidth="1"/>
    <col min="14603" max="14607" width="4.77734375" style="28" customWidth="1"/>
    <col min="14608" max="14608" width="7.77734375" style="28" customWidth="1"/>
    <col min="14609" max="14848" width="8.88671875" style="28"/>
    <col min="14849" max="14849" width="11.77734375" style="28" customWidth="1"/>
    <col min="14850" max="14857" width="4.77734375" style="28" customWidth="1"/>
    <col min="14858" max="14858" width="7.77734375" style="28" customWidth="1"/>
    <col min="14859" max="14863" width="4.77734375" style="28" customWidth="1"/>
    <col min="14864" max="14864" width="7.77734375" style="28" customWidth="1"/>
    <col min="14865" max="15104" width="8.88671875" style="28"/>
    <col min="15105" max="15105" width="11.77734375" style="28" customWidth="1"/>
    <col min="15106" max="15113" width="4.77734375" style="28" customWidth="1"/>
    <col min="15114" max="15114" width="7.77734375" style="28" customWidth="1"/>
    <col min="15115" max="15119" width="4.77734375" style="28" customWidth="1"/>
    <col min="15120" max="15120" width="7.77734375" style="28" customWidth="1"/>
    <col min="15121" max="15360" width="8.88671875" style="28"/>
    <col min="15361" max="15361" width="11.77734375" style="28" customWidth="1"/>
    <col min="15362" max="15369" width="4.77734375" style="28" customWidth="1"/>
    <col min="15370" max="15370" width="7.77734375" style="28" customWidth="1"/>
    <col min="15371" max="15375" width="4.77734375" style="28" customWidth="1"/>
    <col min="15376" max="15376" width="7.77734375" style="28" customWidth="1"/>
    <col min="15377" max="15616" width="8.88671875" style="28"/>
    <col min="15617" max="15617" width="11.77734375" style="28" customWidth="1"/>
    <col min="15618" max="15625" width="4.77734375" style="28" customWidth="1"/>
    <col min="15626" max="15626" width="7.77734375" style="28" customWidth="1"/>
    <col min="15627" max="15631" width="4.77734375" style="28" customWidth="1"/>
    <col min="15632" max="15632" width="7.77734375" style="28" customWidth="1"/>
    <col min="15633" max="15872" width="8.88671875" style="28"/>
    <col min="15873" max="15873" width="11.77734375" style="28" customWidth="1"/>
    <col min="15874" max="15881" width="4.77734375" style="28" customWidth="1"/>
    <col min="15882" max="15882" width="7.77734375" style="28" customWidth="1"/>
    <col min="15883" max="15887" width="4.77734375" style="28" customWidth="1"/>
    <col min="15888" max="15888" width="7.77734375" style="28" customWidth="1"/>
    <col min="15889" max="16128" width="8.88671875" style="28"/>
    <col min="16129" max="16129" width="11.77734375" style="28" customWidth="1"/>
    <col min="16130" max="16137" width="4.77734375" style="28" customWidth="1"/>
    <col min="16138" max="16138" width="7.77734375" style="28" customWidth="1"/>
    <col min="16139" max="16143" width="4.77734375" style="28" customWidth="1"/>
    <col min="16144" max="16144" width="7.77734375" style="28" customWidth="1"/>
    <col min="16145" max="16384" width="8.88671875" style="28"/>
  </cols>
  <sheetData>
    <row r="1" spans="1:16" ht="18">
      <c r="A1" s="596" t="s">
        <v>333</v>
      </c>
      <c r="B1" s="597"/>
      <c r="C1" s="597"/>
      <c r="D1" s="597"/>
      <c r="E1" s="597"/>
      <c r="F1" s="597"/>
      <c r="G1" s="597"/>
      <c r="H1" s="597"/>
      <c r="I1" s="597"/>
      <c r="J1" s="597"/>
      <c r="K1" s="597"/>
      <c r="L1" s="597"/>
      <c r="M1" s="597"/>
      <c r="N1" s="597"/>
      <c r="O1" s="597"/>
      <c r="P1" s="598"/>
    </row>
    <row r="2" spans="1:16" ht="15" customHeight="1">
      <c r="A2" s="599" t="s">
        <v>92</v>
      </c>
      <c r="B2" s="600"/>
      <c r="C2" s="600"/>
      <c r="D2" s="600"/>
      <c r="E2" s="600"/>
      <c r="F2" s="600"/>
      <c r="G2" s="600"/>
      <c r="H2" s="600"/>
      <c r="I2" s="600"/>
      <c r="J2" s="600"/>
      <c r="K2" s="600"/>
      <c r="L2" s="600"/>
      <c r="M2" s="600"/>
      <c r="N2" s="600"/>
      <c r="O2" s="600"/>
      <c r="P2" s="601"/>
    </row>
    <row r="3" spans="1:16" ht="15" customHeight="1">
      <c r="A3" s="66" t="s">
        <v>93</v>
      </c>
      <c r="B3" s="579" t="s">
        <v>94</v>
      </c>
      <c r="C3" s="580"/>
      <c r="D3" s="581"/>
      <c r="E3" s="579" t="s">
        <v>95</v>
      </c>
      <c r="F3" s="580"/>
      <c r="G3" s="581"/>
      <c r="H3" s="602" t="s">
        <v>96</v>
      </c>
      <c r="I3" s="603"/>
      <c r="J3" s="604"/>
      <c r="K3" s="579" t="s">
        <v>97</v>
      </c>
      <c r="L3" s="580"/>
      <c r="M3" s="581"/>
      <c r="N3" s="579" t="s">
        <v>98</v>
      </c>
      <c r="O3" s="580"/>
      <c r="P3" s="582"/>
    </row>
    <row r="4" spans="1:16" ht="15" customHeight="1">
      <c r="A4" s="66" t="s">
        <v>99</v>
      </c>
      <c r="B4" s="579" t="s">
        <v>334</v>
      </c>
      <c r="C4" s="580"/>
      <c r="D4" s="581"/>
      <c r="E4" s="579" t="s">
        <v>335</v>
      </c>
      <c r="F4" s="580"/>
      <c r="G4" s="581"/>
      <c r="H4" s="579" t="s">
        <v>33</v>
      </c>
      <c r="I4" s="580"/>
      <c r="J4" s="581"/>
      <c r="K4" s="632" t="s">
        <v>79</v>
      </c>
      <c r="L4" s="632"/>
      <c r="M4" s="482" t="s">
        <v>336</v>
      </c>
      <c r="N4" s="482"/>
      <c r="O4" s="482" t="s">
        <v>54</v>
      </c>
      <c r="P4" s="658"/>
    </row>
    <row r="5" spans="1:16" ht="15" customHeight="1">
      <c r="A5" s="66" t="s">
        <v>104</v>
      </c>
      <c r="B5" s="579" t="s">
        <v>83</v>
      </c>
      <c r="C5" s="580"/>
      <c r="D5" s="581"/>
      <c r="E5" s="579" t="s">
        <v>70</v>
      </c>
      <c r="F5" s="580"/>
      <c r="G5" s="581"/>
      <c r="H5" s="579" t="s">
        <v>337</v>
      </c>
      <c r="I5" s="580"/>
      <c r="J5" s="581"/>
      <c r="K5" s="632" t="s">
        <v>84</v>
      </c>
      <c r="L5" s="632"/>
      <c r="M5" s="482" t="s">
        <v>105</v>
      </c>
      <c r="N5" s="482"/>
      <c r="O5" s="482" t="s">
        <v>86</v>
      </c>
      <c r="P5" s="658"/>
    </row>
    <row r="6" spans="1:16" ht="15" customHeight="1">
      <c r="A6" s="66" t="s">
        <v>106</v>
      </c>
      <c r="B6" s="579" t="s">
        <v>107</v>
      </c>
      <c r="C6" s="580"/>
      <c r="D6" s="581"/>
      <c r="E6" s="602" t="s">
        <v>338</v>
      </c>
      <c r="F6" s="603"/>
      <c r="G6" s="604"/>
      <c r="H6" s="579" t="s">
        <v>109</v>
      </c>
      <c r="I6" s="580"/>
      <c r="J6" s="581"/>
      <c r="K6" s="579" t="s">
        <v>110</v>
      </c>
      <c r="L6" s="580"/>
      <c r="M6" s="581"/>
      <c r="N6" s="579" t="s">
        <v>111</v>
      </c>
      <c r="O6" s="580"/>
      <c r="P6" s="582"/>
    </row>
    <row r="7" spans="1:16" ht="5.0999999999999996" customHeight="1">
      <c r="A7" s="67"/>
      <c r="P7" s="68"/>
    </row>
    <row r="8" spans="1:16" ht="15" customHeight="1">
      <c r="A8" s="69" t="s">
        <v>112</v>
      </c>
      <c r="B8" s="588" t="s">
        <v>113</v>
      </c>
      <c r="C8" s="588"/>
      <c r="D8" s="588"/>
      <c r="E8" s="588"/>
      <c r="F8" s="29"/>
      <c r="G8" s="29"/>
      <c r="H8" s="29"/>
      <c r="I8" s="29"/>
      <c r="P8" s="68"/>
    </row>
    <row r="9" spans="1:16" ht="15" customHeight="1">
      <c r="A9" s="69" t="s">
        <v>16</v>
      </c>
      <c r="B9" s="592">
        <f>+'2.BIMA'!B9:F9</f>
        <v>45081</v>
      </c>
      <c r="C9" s="592"/>
      <c r="D9" s="592"/>
      <c r="E9" s="592"/>
      <c r="F9" s="592"/>
      <c r="G9" s="82"/>
      <c r="H9" s="82"/>
      <c r="I9" s="82"/>
      <c r="P9" s="68"/>
    </row>
    <row r="10" spans="1:16" ht="15" customHeight="1">
      <c r="A10" s="69" t="s">
        <v>114</v>
      </c>
      <c r="B10" s="588" t="s">
        <v>339</v>
      </c>
      <c r="C10" s="588"/>
      <c r="D10" s="588"/>
      <c r="E10" s="588"/>
      <c r="F10" s="29"/>
      <c r="G10" s="29"/>
      <c r="H10" s="29"/>
      <c r="I10" s="29"/>
      <c r="P10" s="68"/>
    </row>
    <row r="11" spans="1:16" ht="5.0999999999999996" customHeight="1">
      <c r="A11" s="67"/>
      <c r="P11" s="68"/>
    </row>
    <row r="12" spans="1:16" ht="12" customHeight="1">
      <c r="A12" s="606" t="s">
        <v>116</v>
      </c>
      <c r="B12" s="593" t="s">
        <v>117</v>
      </c>
      <c r="C12" s="594"/>
      <c r="D12" s="595"/>
      <c r="E12" s="593" t="s">
        <v>26</v>
      </c>
      <c r="F12" s="594"/>
      <c r="G12" s="594"/>
      <c r="H12" s="594"/>
      <c r="I12" s="594"/>
      <c r="J12" s="595"/>
      <c r="K12" s="593" t="s">
        <v>27</v>
      </c>
      <c r="L12" s="594"/>
      <c r="M12" s="594"/>
      <c r="N12" s="594"/>
      <c r="O12" s="594"/>
      <c r="P12" s="607"/>
    </row>
    <row r="13" spans="1:16" ht="12" customHeight="1">
      <c r="A13" s="606"/>
      <c r="B13" s="339" t="s">
        <v>118</v>
      </c>
      <c r="C13" s="339" t="s">
        <v>119</v>
      </c>
      <c r="D13" s="339" t="s">
        <v>120</v>
      </c>
      <c r="E13" s="339" t="s">
        <v>121</v>
      </c>
      <c r="F13" s="339" t="s">
        <v>122</v>
      </c>
      <c r="G13" s="339" t="s">
        <v>123</v>
      </c>
      <c r="H13" s="339" t="s">
        <v>124</v>
      </c>
      <c r="I13" s="339" t="s">
        <v>125</v>
      </c>
      <c r="J13" s="339" t="s">
        <v>126</v>
      </c>
      <c r="K13" s="339" t="s">
        <v>121</v>
      </c>
      <c r="L13" s="339" t="s">
        <v>122</v>
      </c>
      <c r="M13" s="339" t="s">
        <v>123</v>
      </c>
      <c r="N13" s="339" t="s">
        <v>124</v>
      </c>
      <c r="O13" s="339" t="s">
        <v>125</v>
      </c>
      <c r="P13" s="70" t="s">
        <v>126</v>
      </c>
    </row>
    <row r="14" spans="1:16" ht="12" customHeight="1">
      <c r="A14" s="589" t="s">
        <v>79</v>
      </c>
      <c r="B14" s="340" t="s">
        <v>340</v>
      </c>
      <c r="C14" s="364">
        <v>1</v>
      </c>
      <c r="D14" s="364" t="s">
        <v>44</v>
      </c>
      <c r="E14" s="352"/>
      <c r="F14" s="361"/>
      <c r="G14" s="361"/>
      <c r="H14" s="340">
        <v>1</v>
      </c>
      <c r="I14" s="340">
        <v>1.3</v>
      </c>
      <c r="J14" s="347">
        <f t="shared" ref="J14:J15" si="0">+E14*F14*G14*H14*I14</f>
        <v>0</v>
      </c>
      <c r="K14" s="352">
        <f>E14</f>
        <v>0</v>
      </c>
      <c r="L14" s="352">
        <f t="shared" ref="L14:M14" si="1">F14</f>
        <v>0</v>
      </c>
      <c r="M14" s="352">
        <f t="shared" si="1"/>
        <v>0</v>
      </c>
      <c r="N14" s="340">
        <v>0.95</v>
      </c>
      <c r="O14" s="340">
        <v>1.3</v>
      </c>
      <c r="P14" s="188">
        <f t="shared" ref="P14:P15" si="2">+K14*L14*M14*N14*O14</f>
        <v>0</v>
      </c>
    </row>
    <row r="15" spans="1:16" ht="12" customHeight="1">
      <c r="A15" s="590"/>
      <c r="B15" s="340" t="s">
        <v>341</v>
      </c>
      <c r="C15" s="364">
        <v>2</v>
      </c>
      <c r="D15" s="364" t="s">
        <v>44</v>
      </c>
      <c r="E15" s="352"/>
      <c r="F15" s="361"/>
      <c r="G15" s="361"/>
      <c r="H15" s="340">
        <v>1</v>
      </c>
      <c r="I15" s="340">
        <v>1.3</v>
      </c>
      <c r="J15" s="347">
        <f t="shared" si="0"/>
        <v>0</v>
      </c>
      <c r="K15" s="352">
        <f t="shared" ref="K15:K19" si="3">E15</f>
        <v>0</v>
      </c>
      <c r="L15" s="352">
        <f t="shared" ref="L15:L19" si="4">F15</f>
        <v>0</v>
      </c>
      <c r="M15" s="352">
        <f t="shared" ref="M15:M19" si="5">G15</f>
        <v>0</v>
      </c>
      <c r="N15" s="340">
        <v>0.95</v>
      </c>
      <c r="O15" s="340">
        <v>1.3</v>
      </c>
      <c r="P15" s="188">
        <f t="shared" si="2"/>
        <v>0</v>
      </c>
    </row>
    <row r="16" spans="1:16" ht="12" customHeight="1">
      <c r="A16" s="590"/>
      <c r="B16" s="340" t="s">
        <v>342</v>
      </c>
      <c r="C16" s="364">
        <v>3</v>
      </c>
      <c r="D16" s="369" t="s">
        <v>46</v>
      </c>
      <c r="E16" s="424"/>
      <c r="F16" s="424"/>
      <c r="G16" s="425"/>
      <c r="H16" s="340">
        <v>1</v>
      </c>
      <c r="I16" s="340">
        <v>1.3</v>
      </c>
      <c r="J16" s="346">
        <f t="shared" ref="J16" si="6">+E16*F16*G16*H16*I16</f>
        <v>0</v>
      </c>
      <c r="K16" s="352">
        <f t="shared" si="3"/>
        <v>0</v>
      </c>
      <c r="L16" s="352">
        <f t="shared" si="4"/>
        <v>0</v>
      </c>
      <c r="M16" s="352">
        <f t="shared" si="5"/>
        <v>0</v>
      </c>
      <c r="N16" s="340">
        <v>0.95</v>
      </c>
      <c r="O16" s="340">
        <v>1.3</v>
      </c>
      <c r="P16" s="81">
        <f t="shared" ref="P16" si="7">+K16*L16*M16*N16*O16</f>
        <v>0</v>
      </c>
    </row>
    <row r="17" spans="1:16" ht="12" customHeight="1">
      <c r="A17" s="590"/>
      <c r="B17" s="340" t="s">
        <v>343</v>
      </c>
      <c r="C17" s="364">
        <v>4</v>
      </c>
      <c r="D17" s="369" t="s">
        <v>46</v>
      </c>
      <c r="E17" s="424"/>
      <c r="F17" s="424"/>
      <c r="G17" s="425"/>
      <c r="H17" s="340">
        <v>1</v>
      </c>
      <c r="I17" s="340">
        <v>1.3</v>
      </c>
      <c r="J17" s="347">
        <f t="shared" ref="J17:J18" si="8">+E17*F17*G17*H17*I17</f>
        <v>0</v>
      </c>
      <c r="K17" s="352">
        <f t="shared" si="3"/>
        <v>0</v>
      </c>
      <c r="L17" s="352">
        <f t="shared" si="4"/>
        <v>0</v>
      </c>
      <c r="M17" s="352">
        <f t="shared" si="5"/>
        <v>0</v>
      </c>
      <c r="N17" s="340">
        <v>0.95</v>
      </c>
      <c r="O17" s="340">
        <v>1.3</v>
      </c>
      <c r="P17" s="188">
        <f t="shared" ref="P17:P18" si="9">+K17*L17*M17*N17*O17</f>
        <v>0</v>
      </c>
    </row>
    <row r="18" spans="1:16" ht="12" customHeight="1">
      <c r="A18" s="590"/>
      <c r="B18" s="340">
        <v>4</v>
      </c>
      <c r="C18" s="364">
        <v>5</v>
      </c>
      <c r="D18" s="369" t="s">
        <v>46</v>
      </c>
      <c r="E18" s="424"/>
      <c r="F18" s="424"/>
      <c r="G18" s="424"/>
      <c r="H18" s="340">
        <v>1</v>
      </c>
      <c r="I18" s="340">
        <v>1.3</v>
      </c>
      <c r="J18" s="346">
        <f t="shared" si="8"/>
        <v>0</v>
      </c>
      <c r="K18" s="352">
        <f t="shared" si="3"/>
        <v>0</v>
      </c>
      <c r="L18" s="352">
        <f t="shared" si="4"/>
        <v>0</v>
      </c>
      <c r="M18" s="352">
        <f t="shared" si="5"/>
        <v>0</v>
      </c>
      <c r="N18" s="340">
        <v>0.95</v>
      </c>
      <c r="O18" s="340">
        <v>1.3</v>
      </c>
      <c r="P18" s="81">
        <f t="shared" si="9"/>
        <v>0</v>
      </c>
    </row>
    <row r="19" spans="1:16" ht="12" customHeight="1">
      <c r="A19" s="590"/>
      <c r="B19" s="340">
        <v>5</v>
      </c>
      <c r="C19" s="364">
        <v>6</v>
      </c>
      <c r="D19" s="369" t="s">
        <v>46</v>
      </c>
      <c r="E19" s="424"/>
      <c r="F19" s="424"/>
      <c r="G19" s="424"/>
      <c r="H19" s="340">
        <v>1</v>
      </c>
      <c r="I19" s="340">
        <v>1.3</v>
      </c>
      <c r="J19" s="346">
        <f t="shared" ref="J19" si="10">+E19*F19*G19*H19*I19</f>
        <v>0</v>
      </c>
      <c r="K19" s="352">
        <f t="shared" si="3"/>
        <v>0</v>
      </c>
      <c r="L19" s="352">
        <f t="shared" si="4"/>
        <v>0</v>
      </c>
      <c r="M19" s="352">
        <f t="shared" si="5"/>
        <v>0</v>
      </c>
      <c r="N19" s="340">
        <v>0.95</v>
      </c>
      <c r="O19" s="340">
        <v>1.3</v>
      </c>
      <c r="P19" s="81">
        <f t="shared" ref="P19" si="11">+K19*L19*M19*N19*O19</f>
        <v>0</v>
      </c>
    </row>
    <row r="20" spans="1:16" ht="12" hidden="1" customHeight="1">
      <c r="A20" s="590"/>
      <c r="B20" s="340"/>
      <c r="C20" s="340">
        <v>7</v>
      </c>
      <c r="D20" s="340" t="s">
        <v>46</v>
      </c>
      <c r="E20" s="352"/>
      <c r="F20" s="361">
        <v>7.625</v>
      </c>
      <c r="G20" s="357">
        <v>1</v>
      </c>
      <c r="H20" s="340">
        <v>1</v>
      </c>
      <c r="I20" s="340">
        <v>1.3</v>
      </c>
      <c r="J20" s="346">
        <f t="shared" ref="J20" si="12">+E20*F20*G20*H20*I20</f>
        <v>0</v>
      </c>
      <c r="K20" s="352">
        <f t="shared" ref="K20:K23" si="13">+E20</f>
        <v>0</v>
      </c>
      <c r="L20" s="361">
        <f t="shared" ref="L20:L23" si="14">+F20</f>
        <v>7.625</v>
      </c>
      <c r="M20" s="361">
        <f t="shared" ref="M20:M23" si="15">+G20</f>
        <v>1</v>
      </c>
      <c r="N20" s="340">
        <v>0.95</v>
      </c>
      <c r="O20" s="340">
        <v>1.3</v>
      </c>
      <c r="P20" s="81">
        <f t="shared" ref="P20" si="16">+K20*L20*M20*N20*O20</f>
        <v>0</v>
      </c>
    </row>
    <row r="21" spans="1:16" ht="12" hidden="1" customHeight="1">
      <c r="A21" s="590"/>
      <c r="B21" s="340"/>
      <c r="C21" s="340">
        <v>8</v>
      </c>
      <c r="D21" s="340" t="s">
        <v>46</v>
      </c>
      <c r="E21" s="426"/>
      <c r="F21" s="426"/>
      <c r="G21" s="426"/>
      <c r="H21" s="340">
        <v>1</v>
      </c>
      <c r="I21" s="340">
        <v>1.3</v>
      </c>
      <c r="J21" s="342">
        <f t="shared" ref="J21:J23" si="17">+E21*F21*G21*H21*I21</f>
        <v>0</v>
      </c>
      <c r="K21" s="352">
        <f t="shared" si="13"/>
        <v>0</v>
      </c>
      <c r="L21" s="361">
        <f t="shared" si="14"/>
        <v>0</v>
      </c>
      <c r="M21" s="361">
        <f t="shared" si="15"/>
        <v>0</v>
      </c>
      <c r="N21" s="340">
        <v>0.95</v>
      </c>
      <c r="O21" s="340">
        <v>1.3</v>
      </c>
      <c r="P21" s="81">
        <f t="shared" ref="P21:P23" si="18">+K21*L21*M21*N21*O21</f>
        <v>0</v>
      </c>
    </row>
    <row r="22" spans="1:16" ht="12" hidden="1" customHeight="1">
      <c r="A22" s="590"/>
      <c r="B22" s="340"/>
      <c r="C22" s="340">
        <v>9</v>
      </c>
      <c r="D22" s="340" t="s">
        <v>46</v>
      </c>
      <c r="E22" s="426"/>
      <c r="F22" s="426"/>
      <c r="G22" s="426"/>
      <c r="H22" s="340">
        <v>1</v>
      </c>
      <c r="I22" s="340">
        <v>1.3</v>
      </c>
      <c r="J22" s="342">
        <f t="shared" si="17"/>
        <v>0</v>
      </c>
      <c r="K22" s="352">
        <f t="shared" si="13"/>
        <v>0</v>
      </c>
      <c r="L22" s="361">
        <f t="shared" si="14"/>
        <v>0</v>
      </c>
      <c r="M22" s="361">
        <f t="shared" si="15"/>
        <v>0</v>
      </c>
      <c r="N22" s="340">
        <v>0.95</v>
      </c>
      <c r="O22" s="340">
        <v>1.3</v>
      </c>
      <c r="P22" s="81">
        <f t="shared" si="18"/>
        <v>0</v>
      </c>
    </row>
    <row r="23" spans="1:16" ht="12" hidden="1" customHeight="1">
      <c r="A23" s="590"/>
      <c r="B23" s="311"/>
      <c r="C23" s="340">
        <v>10</v>
      </c>
      <c r="D23" s="340" t="s">
        <v>46</v>
      </c>
      <c r="E23" s="312"/>
      <c r="F23" s="313"/>
      <c r="G23" s="314"/>
      <c r="H23" s="340">
        <v>1</v>
      </c>
      <c r="I23" s="340">
        <v>1.3</v>
      </c>
      <c r="J23" s="342">
        <f t="shared" si="17"/>
        <v>0</v>
      </c>
      <c r="K23" s="352">
        <f t="shared" si="13"/>
        <v>0</v>
      </c>
      <c r="L23" s="361">
        <f t="shared" si="14"/>
        <v>0</v>
      </c>
      <c r="M23" s="361">
        <f t="shared" si="15"/>
        <v>0</v>
      </c>
      <c r="N23" s="340">
        <v>0.95</v>
      </c>
      <c r="O23" s="340">
        <v>1.3</v>
      </c>
      <c r="P23" s="81">
        <f t="shared" si="18"/>
        <v>0</v>
      </c>
    </row>
    <row r="24" spans="1:16" ht="12" customHeight="1">
      <c r="A24" s="591"/>
      <c r="B24" s="593" t="s">
        <v>36</v>
      </c>
      <c r="C24" s="594"/>
      <c r="D24" s="595"/>
      <c r="E24" s="361"/>
      <c r="F24" s="352"/>
      <c r="G24" s="397"/>
      <c r="H24" s="397"/>
      <c r="I24" s="397"/>
      <c r="J24" s="346">
        <f>SUM(J14:J23)</f>
        <v>0</v>
      </c>
      <c r="K24" s="398"/>
      <c r="L24" s="398"/>
      <c r="M24" s="399"/>
      <c r="N24" s="315"/>
      <c r="O24" s="315"/>
      <c r="P24" s="224">
        <f>SUM(P14:P23)</f>
        <v>0</v>
      </c>
    </row>
    <row r="25" spans="1:16" ht="12" customHeight="1">
      <c r="A25" s="621" t="s">
        <v>242</v>
      </c>
      <c r="B25" s="622"/>
      <c r="C25" s="622"/>
      <c r="D25" s="647"/>
      <c r="E25" s="222"/>
      <c r="F25" s="222"/>
      <c r="G25" s="222"/>
      <c r="H25" s="222"/>
      <c r="I25" s="222"/>
      <c r="J25" s="223">
        <f>+J24</f>
        <v>0</v>
      </c>
      <c r="K25" s="223"/>
      <c r="L25" s="223"/>
      <c r="M25" s="223"/>
      <c r="N25" s="223"/>
      <c r="O25" s="223"/>
      <c r="P25" s="292">
        <f>+P24</f>
        <v>0</v>
      </c>
    </row>
    <row r="26" spans="1:16" ht="12" customHeight="1">
      <c r="A26" s="618" t="s">
        <v>248</v>
      </c>
      <c r="B26" s="641" t="s">
        <v>37</v>
      </c>
      <c r="C26" s="641"/>
      <c r="D26" s="642"/>
      <c r="E26" s="234"/>
      <c r="F26" s="234"/>
      <c r="G26" s="234"/>
      <c r="H26" s="234"/>
      <c r="I26" s="234"/>
      <c r="J26" s="220">
        <f>+SUMIF($D$14:$D$23,"PH",($J$14:$J$23))</f>
        <v>0</v>
      </c>
      <c r="K26" s="233"/>
      <c r="L26" s="233"/>
      <c r="M26" s="233"/>
      <c r="N26" s="233"/>
      <c r="O26" s="233"/>
      <c r="P26" s="235">
        <f>+SUMIF($D$14:$D$23,"PH",($P$14:$P$23))</f>
        <v>0</v>
      </c>
    </row>
    <row r="27" spans="1:16" ht="12" customHeight="1">
      <c r="A27" s="619"/>
      <c r="B27" s="643" t="s">
        <v>40</v>
      </c>
      <c r="C27" s="643"/>
      <c r="D27" s="644"/>
      <c r="E27" s="234"/>
      <c r="F27" s="234"/>
      <c r="G27" s="234"/>
      <c r="H27" s="234"/>
      <c r="I27" s="234"/>
      <c r="J27" s="220">
        <f>+SUMIF($D$14:$D$23,"PL",($J$14:$J$23))</f>
        <v>0</v>
      </c>
      <c r="K27" s="233"/>
      <c r="L27" s="233"/>
      <c r="M27" s="233"/>
      <c r="N27" s="233"/>
      <c r="O27" s="233"/>
      <c r="P27" s="235">
        <f>+SUMIF($D$14:$D$23,"PL",($P$14:$P$23))</f>
        <v>0</v>
      </c>
    </row>
    <row r="28" spans="1:16" ht="12" customHeight="1">
      <c r="A28" s="619"/>
      <c r="B28" s="629" t="s">
        <v>41</v>
      </c>
      <c r="C28" s="629"/>
      <c r="D28" s="630"/>
      <c r="E28" s="234"/>
      <c r="F28" s="234"/>
      <c r="G28" s="234"/>
      <c r="H28" s="234"/>
      <c r="I28" s="234"/>
      <c r="J28" s="220">
        <f>+SUMIF($D$14:$D$23,"MH",($J$14:$J$23))</f>
        <v>0</v>
      </c>
      <c r="K28" s="233"/>
      <c r="L28" s="233"/>
      <c r="M28" s="233"/>
      <c r="N28" s="233"/>
      <c r="O28" s="233"/>
      <c r="P28" s="235">
        <f>+SUMIF($D$14:$D$23,"MH",($P$14:$P$23))</f>
        <v>0</v>
      </c>
    </row>
    <row r="29" spans="1:16" ht="12" customHeight="1">
      <c r="A29" s="619"/>
      <c r="B29" s="594" t="s">
        <v>44</v>
      </c>
      <c r="C29" s="594"/>
      <c r="D29" s="595"/>
      <c r="E29" s="234"/>
      <c r="F29" s="234"/>
      <c r="G29" s="234"/>
      <c r="H29" s="234"/>
      <c r="I29" s="234"/>
      <c r="J29" s="220">
        <f>+SUMIF($D$14:$D$23,"ML",($J$14:$J$23))</f>
        <v>0</v>
      </c>
      <c r="K29" s="233"/>
      <c r="L29" s="233"/>
      <c r="M29" s="233"/>
      <c r="N29" s="233"/>
      <c r="O29" s="233"/>
      <c r="P29" s="235">
        <f>+SUMIF($D$14:$D$23,"ML",($P$14:$P$23))</f>
        <v>0</v>
      </c>
    </row>
    <row r="30" spans="1:16" ht="12" customHeight="1">
      <c r="A30" s="619"/>
      <c r="B30" s="616" t="s">
        <v>46</v>
      </c>
      <c r="C30" s="616"/>
      <c r="D30" s="617"/>
      <c r="E30" s="402"/>
      <c r="F30" s="402"/>
      <c r="G30" s="402"/>
      <c r="H30" s="402"/>
      <c r="I30" s="402"/>
      <c r="J30" s="403">
        <f>+SUMIF($D$14:$D$23,"SM",($J$14:$J$23))</f>
        <v>0</v>
      </c>
      <c r="K30" s="404"/>
      <c r="L30" s="404"/>
      <c r="M30" s="404"/>
      <c r="N30" s="404"/>
      <c r="O30" s="404"/>
      <c r="P30" s="219">
        <f>+SUMIF($D$14:$D$23,"SM",($P$14:$P$23))</f>
        <v>0</v>
      </c>
    </row>
    <row r="31" spans="1:16" ht="12" customHeight="1" thickBot="1">
      <c r="A31" s="620"/>
      <c r="B31" s="645" t="s">
        <v>48</v>
      </c>
      <c r="C31" s="645"/>
      <c r="D31" s="646"/>
      <c r="E31" s="179"/>
      <c r="F31" s="180"/>
      <c r="G31" s="180"/>
      <c r="H31" s="180"/>
      <c r="I31" s="180"/>
      <c r="J31" s="181">
        <f>SUM(J26:J30)</f>
        <v>0</v>
      </c>
      <c r="K31" s="182"/>
      <c r="L31" s="182"/>
      <c r="M31" s="182"/>
      <c r="N31" s="182"/>
      <c r="O31" s="182"/>
      <c r="P31" s="183">
        <f>SUM(P26:P30)</f>
        <v>0</v>
      </c>
    </row>
    <row r="32" spans="1:16" ht="15" customHeight="1" thickBot="1">
      <c r="A32" s="576" t="s">
        <v>278</v>
      </c>
      <c r="B32" s="577"/>
      <c r="C32" s="577"/>
      <c r="D32" s="577"/>
      <c r="E32" s="577"/>
      <c r="F32" s="577"/>
      <c r="G32" s="577"/>
      <c r="H32" s="577"/>
      <c r="I32" s="577"/>
      <c r="J32" s="577"/>
      <c r="K32" s="577"/>
      <c r="L32" s="577"/>
      <c r="M32" s="577"/>
      <c r="N32" s="577"/>
      <c r="O32" s="577"/>
      <c r="P32" s="578"/>
    </row>
    <row r="33" spans="1:16" ht="15" customHeight="1">
      <c r="A33" s="71"/>
      <c r="B33" s="72"/>
      <c r="C33" s="72"/>
      <c r="D33" s="77"/>
      <c r="E33" s="77"/>
      <c r="F33" s="77"/>
      <c r="G33" s="77"/>
      <c r="H33" s="77"/>
      <c r="I33" s="77"/>
      <c r="J33" s="72"/>
      <c r="K33" s="72"/>
      <c r="L33" s="72"/>
      <c r="M33" s="72"/>
      <c r="N33" s="72"/>
      <c r="O33" s="72"/>
      <c r="P33" s="73"/>
    </row>
    <row r="34" spans="1:16" ht="15" customHeight="1">
      <c r="A34" s="67"/>
      <c r="P34" s="68"/>
    </row>
    <row r="35" spans="1:16" ht="15" customHeight="1">
      <c r="A35" s="67"/>
      <c r="P35" s="68"/>
    </row>
    <row r="36" spans="1:16" ht="15" customHeight="1">
      <c r="A36" s="67"/>
      <c r="P36" s="68"/>
    </row>
    <row r="37" spans="1:16" ht="15" customHeight="1">
      <c r="A37" s="67"/>
      <c r="P37" s="68"/>
    </row>
    <row r="38" spans="1:16" ht="15" customHeight="1">
      <c r="A38" s="67"/>
      <c r="P38" s="68"/>
    </row>
    <row r="39" spans="1:16" ht="15" customHeight="1">
      <c r="A39" s="67"/>
      <c r="P39" s="68"/>
    </row>
    <row r="40" spans="1:16" ht="15" customHeight="1">
      <c r="A40" s="67"/>
      <c r="P40" s="68"/>
    </row>
    <row r="41" spans="1:16" ht="15" customHeight="1">
      <c r="A41" s="67"/>
      <c r="P41" s="68"/>
    </row>
    <row r="42" spans="1:16" ht="15" customHeight="1">
      <c r="A42" s="67"/>
      <c r="P42" s="68"/>
    </row>
    <row r="43" spans="1:16" ht="15" customHeight="1">
      <c r="A43" s="67"/>
      <c r="P43" s="68"/>
    </row>
    <row r="44" spans="1:16" ht="15" customHeight="1">
      <c r="A44" s="67"/>
      <c r="P44" s="68"/>
    </row>
    <row r="45" spans="1:16" ht="15" customHeight="1">
      <c r="A45" s="67"/>
      <c r="P45" s="68"/>
    </row>
    <row r="46" spans="1:16" ht="15" customHeight="1">
      <c r="A46" s="67"/>
      <c r="P46" s="68"/>
    </row>
    <row r="47" spans="1:16" ht="15" customHeight="1">
      <c r="A47" s="67"/>
      <c r="P47" s="68"/>
    </row>
    <row r="48" spans="1:16" ht="15" customHeight="1">
      <c r="A48" s="67"/>
      <c r="P48" s="68"/>
    </row>
    <row r="49" spans="1:16" ht="15" customHeight="1">
      <c r="A49" s="67"/>
      <c r="P49" s="68"/>
    </row>
    <row r="50" spans="1:16" ht="15" customHeight="1">
      <c r="A50" s="67"/>
      <c r="P50" s="68"/>
    </row>
    <row r="51" spans="1:16" ht="15" customHeight="1">
      <c r="A51" s="67"/>
      <c r="P51" s="68"/>
    </row>
    <row r="52" spans="1:16" ht="15" customHeight="1">
      <c r="A52" s="67"/>
      <c r="P52" s="68"/>
    </row>
    <row r="53" spans="1:16" ht="15" customHeight="1">
      <c r="A53" s="67"/>
      <c r="P53" s="68"/>
    </row>
    <row r="54" spans="1:16" ht="15" customHeight="1">
      <c r="A54" s="67"/>
      <c r="P54" s="68"/>
    </row>
    <row r="55" spans="1:16" ht="15" hidden="1" customHeight="1">
      <c r="A55" s="67"/>
      <c r="P55" s="68"/>
    </row>
    <row r="56" spans="1:16" ht="15" hidden="1" customHeight="1">
      <c r="A56" s="67"/>
      <c r="P56" s="68"/>
    </row>
    <row r="57" spans="1:16" ht="15" hidden="1" customHeight="1">
      <c r="A57" s="67"/>
      <c r="P57" s="68"/>
    </row>
    <row r="58" spans="1:16" ht="15" customHeight="1">
      <c r="A58" s="67"/>
      <c r="P58" s="68"/>
    </row>
    <row r="59" spans="1:16" ht="15" customHeight="1">
      <c r="A59" s="67"/>
      <c r="P59" s="68"/>
    </row>
    <row r="60" spans="1:16" ht="15" customHeight="1">
      <c r="A60" s="67"/>
      <c r="P60" s="68"/>
    </row>
    <row r="61" spans="1:16" ht="15" customHeight="1" thickBot="1">
      <c r="A61" s="67"/>
      <c r="P61" s="68"/>
    </row>
    <row r="62" spans="1:16" ht="15" hidden="1" customHeight="1">
      <c r="A62" s="67"/>
      <c r="P62" s="68"/>
    </row>
    <row r="63" spans="1:16" ht="15" hidden="1" customHeight="1">
      <c r="A63" s="67"/>
      <c r="P63" s="68"/>
    </row>
    <row r="64" spans="1:16" ht="15" hidden="1" customHeight="1">
      <c r="A64" s="67"/>
      <c r="P64" s="68"/>
    </row>
    <row r="65" spans="1:16" ht="15" hidden="1" customHeight="1">
      <c r="A65" s="67"/>
      <c r="P65" s="68"/>
    </row>
    <row r="66" spans="1:16" ht="15" hidden="1" customHeight="1">
      <c r="A66" s="67"/>
      <c r="P66" s="68"/>
    </row>
    <row r="67" spans="1:16" ht="15" hidden="1" customHeight="1">
      <c r="A67" s="67"/>
      <c r="P67" s="68"/>
    </row>
    <row r="68" spans="1:16" ht="15" hidden="1" customHeight="1">
      <c r="A68" s="67"/>
      <c r="P68" s="68"/>
    </row>
    <row r="69" spans="1:16" ht="15" hidden="1" customHeight="1">
      <c r="A69" s="67"/>
      <c r="P69" s="68"/>
    </row>
    <row r="70" spans="1:16" ht="15" hidden="1" customHeight="1" thickBot="1">
      <c r="A70" s="74"/>
      <c r="B70" s="75"/>
      <c r="C70" s="75"/>
      <c r="D70" s="75"/>
      <c r="E70" s="75"/>
      <c r="F70" s="75"/>
      <c r="G70" s="75"/>
      <c r="H70" s="75"/>
      <c r="I70" s="75"/>
      <c r="J70" s="75"/>
      <c r="K70" s="75"/>
      <c r="L70" s="75"/>
      <c r="M70" s="75"/>
      <c r="N70" s="75"/>
      <c r="O70" s="75"/>
      <c r="P70" s="76"/>
    </row>
    <row r="71" spans="1:16" ht="15" customHeight="1">
      <c r="A71" s="72"/>
      <c r="B71" s="72"/>
      <c r="C71" s="72"/>
      <c r="D71" s="72"/>
      <c r="E71" s="72"/>
      <c r="F71" s="72"/>
      <c r="G71" s="72"/>
      <c r="H71" s="72"/>
      <c r="I71" s="72"/>
      <c r="J71" s="72"/>
      <c r="K71" s="72"/>
      <c r="L71" s="72"/>
      <c r="M71" s="72"/>
      <c r="N71" s="72"/>
      <c r="O71" s="72"/>
      <c r="P71" s="72"/>
    </row>
  </sheetData>
  <mergeCells count="42">
    <mergeCell ref="A1:P1"/>
    <mergeCell ref="A2:P2"/>
    <mergeCell ref="B3:D3"/>
    <mergeCell ref="E3:G3"/>
    <mergeCell ref="H3:J3"/>
    <mergeCell ref="K3:M3"/>
    <mergeCell ref="N3:P3"/>
    <mergeCell ref="H4:J4"/>
    <mergeCell ref="B5:D5"/>
    <mergeCell ref="E5:G5"/>
    <mergeCell ref="H5:J5"/>
    <mergeCell ref="B6:D6"/>
    <mergeCell ref="E6:G6"/>
    <mergeCell ref="H6:J6"/>
    <mergeCell ref="B24:D24"/>
    <mergeCell ref="A25:D25"/>
    <mergeCell ref="B8:E8"/>
    <mergeCell ref="B4:D4"/>
    <mergeCell ref="E4:G4"/>
    <mergeCell ref="A32:P32"/>
    <mergeCell ref="K4:L4"/>
    <mergeCell ref="M4:N4"/>
    <mergeCell ref="O4:P4"/>
    <mergeCell ref="K5:L5"/>
    <mergeCell ref="M5:N5"/>
    <mergeCell ref="O5:P5"/>
    <mergeCell ref="B9:F9"/>
    <mergeCell ref="B10:E10"/>
    <mergeCell ref="A12:A13"/>
    <mergeCell ref="B12:D12"/>
    <mergeCell ref="E12:J12"/>
    <mergeCell ref="K12:P12"/>
    <mergeCell ref="K6:M6"/>
    <mergeCell ref="N6:P6"/>
    <mergeCell ref="A14:A24"/>
    <mergeCell ref="A26:A31"/>
    <mergeCell ref="B26:D26"/>
    <mergeCell ref="B27:D27"/>
    <mergeCell ref="B28:D28"/>
    <mergeCell ref="B29:D29"/>
    <mergeCell ref="B30:D30"/>
    <mergeCell ref="B31:D31"/>
  </mergeCells>
  <pageMargins left="0.5" right="0.5" top="0.5" bottom="0.5" header="0.3" footer="0.3"/>
  <pageSetup paperSize="9" scale="90" fitToHeight="0" orientation="portrait" horizontalDpi="300" verticalDpi="300" r:id="rId1"/>
  <headerFooter>
    <oddHeader>&amp;RNo. Form : FM/CH-018 (Lampiran)</oddHeader>
    <oddFooter>&amp;L&amp;F &amp;A&amp;RReported by Pit Control Section          Page &amp;P of &amp;N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12</vt:i4>
      </vt:variant>
    </vt:vector>
  </HeadingPairs>
  <TitlesOfParts>
    <vt:vector size="19" baseType="lpstr">
      <vt:lpstr>Cover</vt:lpstr>
      <vt:lpstr>1.Summary</vt:lpstr>
      <vt:lpstr>2.PAMA</vt:lpstr>
      <vt:lpstr>2.SIMS</vt:lpstr>
      <vt:lpstr>2.PETROSEA</vt:lpstr>
      <vt:lpstr>2.BIMA</vt:lpstr>
      <vt:lpstr>2.KMI</vt:lpstr>
      <vt:lpstr>'1.Summary'!Print_Area</vt:lpstr>
      <vt:lpstr>'2.BIMA'!Print_Area</vt:lpstr>
      <vt:lpstr>'2.KMI'!Print_Area</vt:lpstr>
      <vt:lpstr>'2.PAMA'!Print_Area</vt:lpstr>
      <vt:lpstr>'2.PETROSEA'!Print_Area</vt:lpstr>
      <vt:lpstr>'2.SIMS'!Print_Area</vt:lpstr>
      <vt:lpstr>Cover!Print_Area</vt:lpstr>
      <vt:lpstr>'2.BIMA'!Print_Titles</vt:lpstr>
      <vt:lpstr>'2.KMI'!Print_Titles</vt:lpstr>
      <vt:lpstr>'2.PAMA'!Print_Titles</vt:lpstr>
      <vt:lpstr>'2.PETROSEA'!Print_Titles</vt:lpstr>
      <vt:lpstr>'2.SIMS'!Print_Titles</vt:lpstr>
    </vt:vector>
  </TitlesOfParts>
  <Manager>홍장표</Manager>
  <Company>SAMTAN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Weekly In-Pit Exposed Coal Stock</dc:title>
  <dc:subject/>
  <dc:creator>Paul carlo</dc:creator>
  <cp:keywords/>
  <dc:description/>
  <cp:lastModifiedBy>Surya Putra Badaruddin</cp:lastModifiedBy>
  <cp:revision/>
  <dcterms:created xsi:type="dcterms:W3CDTF">2006-06-20T08:08:57Z</dcterms:created>
  <dcterms:modified xsi:type="dcterms:W3CDTF">2023-06-05T08:53:36Z</dcterms:modified>
  <cp:category/>
  <cp:contentStatus/>
</cp:coreProperties>
</file>